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'Лист4'!$AQ$1:$IH$400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<sst xmlns="http://schemas.openxmlformats.org/spreadsheetml/2006/main" count="695" uniqueCount="461">
  <si>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</si>
  <si>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</si>
  <si>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</si>
  <si>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</si>
  <si>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</si>
  <si>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</si>
  <si>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</si>
  <si>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</si>
  <si>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</si>
  <si>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</si>
  <si>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</si>
  <si>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</si>
  <si>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</si>
  <si>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</si>
  <si>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</si>
  <si>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</si>
  <si>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</si>
  <si>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</si>
  <si>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</si>
  <si>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</si>
  <si>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</si>
  <si>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</si>
  <si>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</si>
  <si>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</si>
  <si>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</si>
  <si>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</si>
  <si>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</si>
  <si>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</si>
  <si>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</si>
  <si>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</si>
  <si>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</si>
  <si>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</si>
  <si>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</si>
  <si>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</si>
  <si>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</si>
  <si>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</si>
  <si>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</si>
  <si>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</si>
  <si>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</si>
  <si>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</si>
  <si>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</si>
  <si>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</si>
  <si>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</si>
  <si>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</si>
  <si>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</si>
  <si>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</si>
  <si>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</si>
  <si>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</si>
  <si>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</si>
  <si>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</si>
  <si>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</si>
  <si>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</si>
  <si>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</si>
  <si>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</si>
  <si>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</si>
  <si>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</si>
  <si>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</si>
  <si>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</si>
  <si>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</si>
  <si>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</si>
  <si>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</si>
  <si>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</si>
  <si>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</si>
  <si>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</si>
  <si>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</si>
  <si>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</si>
  <si>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</si>
  <si>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</si>
  <si>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</si>
  <si>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</si>
  <si>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</si>
  <si>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</si>
  <si>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</si>
  <si>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</si>
  <si>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</si>
  <si>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</si>
  <si>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</si>
  <si>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</si>
  <si>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</si>
  <si>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</si>
  <si>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</si>
  <si>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</si>
  <si>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</si>
  <si>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</si>
  <si>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</si>
  <si>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</si>
  <si>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</si>
  <si>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</si>
  <si>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</si>
  <si>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</si>
  <si>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</si>
  <si>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</si>
  <si>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</si>
  <si>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</si>
  <si>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</si>
  <si>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</si>
  <si>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</si>
  <si>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</si>
  <si>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</si>
  <si>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</si>
  <si>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</si>
  <si>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</si>
  <si>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</si>
  <si>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</si>
  <si>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</si>
  <si>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</si>
  <si>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</si>
  <si>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</si>
  <si>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</si>
  <si>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</si>
  <si>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</si>
  <si>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Родзинки</t>
  </si>
  <si>
    <t>часник</t>
  </si>
  <si>
    <t>Бублики</t>
  </si>
  <si>
    <t>Консерва рибна</t>
  </si>
  <si>
    <t>Шоколад</t>
  </si>
  <si>
    <t>Бухгалтер   Яковенко Г.В.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</si>
  <si>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</si>
  <si>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</si>
  <si>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</si>
  <si>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</si>
  <si>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</si>
  <si>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</si>
  <si>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</si>
  <si>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</si>
  <si>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бекон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</si>
  <si>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</si>
  <si>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</si>
  <si>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чай каркаде</t>
  </si>
  <si>
    <t>кукурудзяна крупа</t>
  </si>
  <si>
    <t>крупа кукурудзяна</t>
  </si>
  <si>
    <t xml:space="preserve">Капуста свіжа </t>
  </si>
  <si>
    <t xml:space="preserve">капуста квашена </t>
  </si>
  <si>
    <t>Капуста квашена</t>
  </si>
  <si>
    <t>гарбуз</t>
  </si>
  <si>
    <t>чорнослив</t>
  </si>
  <si>
    <t>горошок зелений морожений</t>
  </si>
  <si>
    <t>насіння соняшника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</si>
  <si>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</si>
  <si>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</si>
  <si>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йогурт</t>
  </si>
  <si>
    <t>закритий бутерброд з повидлом</t>
  </si>
  <si>
    <t xml:space="preserve"> закритий бутерброд з джемом</t>
  </si>
  <si>
    <t>закритий бутерброд з мармеладом</t>
  </si>
  <si>
    <t>бургер</t>
  </si>
  <si>
    <t>63/90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</si>
  <si>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</si>
  <si>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</si>
  <si>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</si>
  <si>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ароматною олією</t>
  </si>
  <si>
    <t>салат з капусти з зеленим горошком</t>
  </si>
  <si>
    <t>салат з червоної капусти з соусом</t>
  </si>
  <si>
    <t>салат картопляний</t>
  </si>
  <si>
    <t>салат з капусти з насінням</t>
  </si>
  <si>
    <t>салат з гарбузом та яблуком</t>
  </si>
  <si>
    <t>салат з буряком та селерою</t>
  </si>
  <si>
    <t>корінь селери</t>
  </si>
  <si>
    <t>салат з буряком та абрикосовим соусом</t>
  </si>
  <si>
    <t xml:space="preserve">салат з пастою та буряком </t>
  </si>
  <si>
    <t>салат з огірками</t>
  </si>
  <si>
    <t>салат із свіжих помідорів та хлібу</t>
  </si>
  <si>
    <t>салат з редиски</t>
  </si>
  <si>
    <t>редиска</t>
  </si>
  <si>
    <t>салат з моркви та капусти</t>
  </si>
  <si>
    <t>салат з яблуками та квашеною капустою</t>
  </si>
  <si>
    <t>салат з курячої печінки</t>
  </si>
  <si>
    <t>печінка</t>
  </si>
  <si>
    <t>салат табуле з ячневою кашею</t>
  </si>
  <si>
    <t>салат з морквою та сиром</t>
  </si>
  <si>
    <t>салатз буряком та ячневою кашею</t>
  </si>
  <si>
    <t>суп з гарбузом</t>
  </si>
  <si>
    <t>мінестроне</t>
  </si>
  <si>
    <t>борщ з картоплею</t>
  </si>
  <si>
    <t>суп овочевий</t>
  </si>
  <si>
    <t>юшка рибна</t>
  </si>
  <si>
    <t>морквяний крем-суп</t>
  </si>
  <si>
    <t>картопляний крем-суп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</si>
  <si>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</si>
  <si>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</si>
  <si>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</si>
  <si>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</si>
  <si>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</si>
  <si>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</si>
  <si>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</si>
  <si>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 квашеною капустою</t>
  </si>
  <si>
    <t>пшоняна каша зі сметаною та картоплею</t>
  </si>
  <si>
    <t>буряк, тушкованийз яблуками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</si>
  <si>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</si>
  <si>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</si>
  <si>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</si>
  <si>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</si>
  <si>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мусака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</si>
  <si>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</si>
  <si>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</si>
  <si>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</si>
  <si>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</si>
  <si>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</si>
  <si>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мак енд чіз</t>
  </si>
  <si>
    <t>пиріг пастуший</t>
  </si>
  <si>
    <t>кебаб з сиром</t>
  </si>
  <si>
    <t>курка по-італійськи</t>
  </si>
  <si>
    <t>бігос з гречкою</t>
  </si>
  <si>
    <t>печеня  "3 види овочів"</t>
  </si>
  <si>
    <t>курячий шніцель</t>
  </si>
  <si>
    <t>чахохбілі з куркою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</si>
  <si>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</si>
  <si>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</si>
  <si>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</si>
  <si>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</si>
  <si>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</si>
  <si>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кабачки свіжі</t>
  </si>
  <si>
    <t>кру'пяна запіканка з сиром</t>
  </si>
  <si>
    <t>запіканка пшоняна з гарбузом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</si>
  <si>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</si>
  <si>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</si>
  <si>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</si>
  <si>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</si>
  <si>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</si>
  <si>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</si>
  <si>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</si>
  <si>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</si>
  <si>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</si>
  <si>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панкейки бурякові</t>
  </si>
  <si>
    <t>бланманже (молочне желе)</t>
  </si>
  <si>
    <t>пан де калатрава (шарлотка з хліба та молока)</t>
  </si>
  <si>
    <t>рис"Паелья"</t>
  </si>
  <si>
    <t>яблука каркаде</t>
  </si>
  <si>
    <t>каркаде</t>
  </si>
  <si>
    <t>манний пудинг</t>
  </si>
  <si>
    <t>банани свіжі</t>
  </si>
  <si>
    <t>оладки кукурудзяні з яблуками</t>
  </si>
  <si>
    <t>борошно кукурудзяне</t>
  </si>
  <si>
    <t>сода</t>
  </si>
  <si>
    <t>соус каркаде</t>
  </si>
  <si>
    <t>соус томатно-імбирний</t>
  </si>
  <si>
    <t>імбир</t>
  </si>
  <si>
    <t>соус вінегрет</t>
  </si>
  <si>
    <t>оцет 6%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</si>
  <si>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</si>
  <si>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</si>
  <si>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</si>
  <si>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</si>
  <si>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</si>
  <si>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</si>
  <si>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</si>
  <si>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</si>
  <si>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</si>
  <si>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</si>
  <si>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</si>
  <si>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чайи каркаде</t>
  </si>
  <si>
    <t>чай з мелісою</t>
  </si>
  <si>
    <t>меліса</t>
  </si>
  <si>
    <t>чай з липою</t>
  </si>
  <si>
    <t>соус червоний основний</t>
  </si>
  <si>
    <t>салат зелений</t>
  </si>
  <si>
    <t>салат зеленийз з огірками та помідорами</t>
  </si>
  <si>
    <t>салат зі свіжих помідорів</t>
  </si>
  <si>
    <t>салат зі свіжих помідорів з солодким перцем</t>
  </si>
  <si>
    <t>перець солодкий свіжий</t>
  </si>
  <si>
    <t>салат з овочів</t>
  </si>
  <si>
    <t>пюре морквяне з імбиром</t>
  </si>
  <si>
    <t>котлети рибні</t>
  </si>
  <si>
    <t>печеня з м'ясом</t>
  </si>
  <si>
    <t xml:space="preserve">салат зі свіжого буряка та сметаною </t>
  </si>
  <si>
    <t>салат зі свіжого буряка та ороматної олії</t>
  </si>
  <si>
    <t>салат з капусти ,зеленого горошку та насіння</t>
  </si>
  <si>
    <t>салат з буряком та чорносливом</t>
  </si>
  <si>
    <t>салат з буряком ,курагою та горіхами</t>
  </si>
  <si>
    <t>курага</t>
  </si>
  <si>
    <t>горіхи волоські</t>
  </si>
  <si>
    <t>салат фруктовий з горіхами</t>
  </si>
  <si>
    <t>апельсини</t>
  </si>
  <si>
    <t>салат з гарбузом, насінням та зеленим горошком</t>
  </si>
  <si>
    <t>салат з гарбузом,насінням та зеленим горошком</t>
  </si>
  <si>
    <t>насіння гарбузове очищене</t>
  </si>
  <si>
    <t>салат з моркою та імбирем</t>
  </si>
  <si>
    <t>салат з буряком, 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</si>
  <si>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</si>
  <si>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</si>
  <si>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</si>
  <si>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</si>
  <si>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кунжута</t>
  </si>
  <si>
    <t>салат з морквою та родзинками</t>
  </si>
  <si>
    <t>кориця</t>
  </si>
  <si>
    <t>салат з запеченої груші та моркви</t>
  </si>
  <si>
    <t>груша свіжа</t>
  </si>
  <si>
    <t>вінегрет</t>
  </si>
  <si>
    <t>каррі мелена</t>
  </si>
  <si>
    <t>салат з морквою,каррі та соусом "Вінегрет"</t>
  </si>
  <si>
    <t>салат з запеченою капустою та родзинками</t>
  </si>
  <si>
    <t>мускатний горіх</t>
  </si>
  <si>
    <t>салат з морквою,сиром та сметаною</t>
  </si>
  <si>
    <t>салат з моркви та капусти зі сметанно-хроновим соусом</t>
  </si>
  <si>
    <t>салат з червоної капусти з "Вінегрет"</t>
  </si>
  <si>
    <t>хрін білий пастеризований</t>
  </si>
  <si>
    <t>капуста червонокачанна</t>
  </si>
  <si>
    <t>салат з капустою та хроном</t>
  </si>
  <si>
    <t>салат з гречкоюта овочами</t>
  </si>
  <si>
    <t>салат з яйцем,сиром та куркумою</t>
  </si>
  <si>
    <t>куркума мелена</t>
  </si>
  <si>
    <t>салат із перетертим яйцем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</si>
  <si>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</si>
  <si>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</si>
  <si>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</si>
  <si>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</si>
  <si>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</si>
  <si>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</si>
  <si>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 ,огірків та кропу</t>
  </si>
  <si>
    <t>кріп свіжий</t>
  </si>
  <si>
    <t>салат з капусти,яблуком та селерою</t>
  </si>
  <si>
    <t>салат з огірками,петрушкою та часником</t>
  </si>
  <si>
    <t>часник свіжий</t>
  </si>
  <si>
    <t>салат з капусти,огірків та насіння фенхелю</t>
  </si>
  <si>
    <t>петрушка свіжа</t>
  </si>
  <si>
    <t>насіння фенхелю</t>
  </si>
  <si>
    <t>салат з кисломолочним сиром та солодким перцем</t>
  </si>
  <si>
    <t>орегано сухий</t>
  </si>
  <si>
    <t>перець чорний мелений</t>
  </si>
  <si>
    <t>салат з м'якого сиру та томатів</t>
  </si>
  <si>
    <t>салат капустою та огірками зі сметаною</t>
  </si>
  <si>
    <t>компот з ягодами та м'ятою</t>
  </si>
  <si>
    <t>ягоди свіжі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</si>
  <si>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</si>
  <si>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</si>
  <si>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</si>
  <si>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</si>
  <si>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</si>
  <si>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</si>
  <si>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сочевичний суп-пюре</t>
  </si>
  <si>
    <t>томатний ск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</si>
  <si>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</si>
  <si>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</si>
  <si>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</si>
  <si>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</si>
  <si>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</si>
  <si>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суп гороховий</t>
  </si>
  <si>
    <t>суп крупою перловою або рисовою та томатом</t>
  </si>
  <si>
    <t>авголемоно</t>
  </si>
  <si>
    <t>бульйон овочевий</t>
  </si>
  <si>
    <t>ризото із зеленим горошком та твердим сиром</t>
  </si>
  <si>
    <t>сочевиця зі спеціями</t>
  </si>
  <si>
    <t>запечені кабачки в панірувальних сухарях</t>
  </si>
  <si>
    <t>овочеве рагу з зеленим горошком</t>
  </si>
  <si>
    <t>сливи свіжі</t>
  </si>
  <si>
    <t>хмелі-сунелі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</si>
  <si>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</si>
  <si>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</si>
  <si>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</si>
  <si>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</si>
  <si>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</si>
  <si>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</si>
  <si>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</si>
  <si>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</si>
  <si>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</si>
  <si>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</si>
  <si>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</si>
  <si>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</si>
  <si>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</si>
  <si>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</si>
  <si>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</si>
  <si>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</si>
  <si>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>кмин сухий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</si>
  <si>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</si>
  <si>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</si>
  <si>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</si>
  <si>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</si>
  <si>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</si>
  <si>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</si>
  <si>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</si>
  <si>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</si>
  <si>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</si>
  <si>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</si>
  <si>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</si>
  <si>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</si>
  <si>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</si>
  <si>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</si>
  <si>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бисквіт банановий безглютеновий</t>
  </si>
  <si>
    <t>рибний закритий пиріг зі спеціями</t>
  </si>
  <si>
    <t>минтай запечений у соусі "Бешамель"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</si>
  <si>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</si>
  <si>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</si>
  <si>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</si>
  <si>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"Бешамель"</t>
  </si>
  <si>
    <t>рибні нагетси</t>
  </si>
  <si>
    <t>чахахбілі з куркою</t>
  </si>
  <si>
    <t>рибні фрікадельки</t>
  </si>
  <si>
    <t>шпундра з куркою</t>
  </si>
  <si>
    <t>курка запечена  в соусі"Імбирному"</t>
  </si>
  <si>
    <t>запене філе курки з орегано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</si>
  <si>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</si>
  <si>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</si>
  <si>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</si>
  <si>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</si>
  <si>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</si>
  <si>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</si>
  <si>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</si>
  <si>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</si>
  <si>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</si>
  <si>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</si>
  <si>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ягідне кюлі</t>
  </si>
  <si>
    <t>пан де калатрава</t>
  </si>
  <si>
    <t>манний пуднг</t>
  </si>
  <si>
    <t>бланманже</t>
  </si>
  <si>
    <t>оладки кукурудзяні з морквою</t>
  </si>
  <si>
    <t>яблуко запечене з сиром</t>
  </si>
  <si>
    <t>яблуко каркаде</t>
  </si>
  <si>
    <t>шуліки з макои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</si>
  <si>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</si>
  <si>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</si>
  <si>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</si>
  <si>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</si>
  <si>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</si>
  <si>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</si>
  <si>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</si>
  <si>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</si>
  <si>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</si>
  <si>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</si>
  <si>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</si>
  <si>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</si>
  <si>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</si>
  <si>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</si>
  <si>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</si>
  <si>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</si>
  <si>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</si>
  <si>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</si>
  <si>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</si>
  <si>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</si>
  <si>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ліниві голубці з яловичини</t>
  </si>
  <si>
    <t>болоньезе із яловичини</t>
  </si>
  <si>
    <t xml:space="preserve">печеня по-домашньому 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</si>
  <si>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</si>
  <si>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</si>
  <si>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</si>
  <si>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</si>
  <si>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</si>
  <si>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</si>
  <si>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</si>
  <si>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</si>
  <si>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100/50</t>
  </si>
  <si>
    <t>печеня по-домашньому зі свининою</t>
  </si>
  <si>
    <t>хліб житній</t>
  </si>
  <si>
    <t>кефір</t>
  </si>
  <si>
    <t>молоко</t>
  </si>
  <si>
    <t>Хліб цільнозерновий</t>
  </si>
  <si>
    <t>хліб цільнозерновий завтрак</t>
  </si>
  <si>
    <t>хліб цільнозерновий обід</t>
  </si>
  <si>
    <t>хліб цільнозерновийужин</t>
  </si>
  <si>
    <t>сік томатний</t>
  </si>
  <si>
    <t>сік фруктовий</t>
  </si>
  <si>
    <t>закритий бутерброд з медом</t>
  </si>
  <si>
    <t>ЦІНА</t>
  </si>
  <si>
    <t>сир твердий</t>
  </si>
  <si>
    <t>горіхи</t>
  </si>
  <si>
    <t xml:space="preserve">     на  "12"  лютого  2022 р.</t>
  </si>
  <si>
    <t>середні 11-14р.</t>
  </si>
  <si>
    <t>яйце варене</t>
  </si>
  <si>
    <t>салат  з капусти з ароматною олією</t>
  </si>
  <si>
    <t>Огірки квашені</t>
  </si>
  <si>
    <t>плоди шипшини</t>
  </si>
  <si>
    <t>хліб пшеничний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</si>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</sst>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0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7" borderId="1" applyNumberFormat="0" applyAlignment="0" applyProtection="0"/>
    <xf numFmtId="0" fontId="50" fillId="23" borderId="2" applyNumberFormat="0" applyAlignment="0" applyProtection="0"/>
    <xf numFmtId="0" fontId="51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4" borderId="7" applyNumberFormat="0" applyAlignment="0" applyProtection="0"/>
    <xf numFmtId="0" fontId="38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28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1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8.emf" /><Relationship Id="rId3" Type="http://schemas.openxmlformats.org/officeDocument/2006/relationships/image" Target="../media/image36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Relationship Id="rId6" Type="http://schemas.openxmlformats.org/officeDocument/2006/relationships/image" Target="../media/image37.emf" /><Relationship Id="rId7" Type="http://schemas.openxmlformats.org/officeDocument/2006/relationships/image" Target="../media/image24.emf" /><Relationship Id="rId8" Type="http://schemas.openxmlformats.org/officeDocument/2006/relationships/image" Target="../media/image39.emf" /><Relationship Id="rId9" Type="http://schemas.openxmlformats.org/officeDocument/2006/relationships/image" Target="../media/image40.emf" /><Relationship Id="rId10" Type="http://schemas.openxmlformats.org/officeDocument/2006/relationships/image" Target="../media/image34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23.emf" /><Relationship Id="rId15" Type="http://schemas.openxmlformats.org/officeDocument/2006/relationships/image" Target="../media/image35.emf" /><Relationship Id="rId16" Type="http://schemas.openxmlformats.org/officeDocument/2006/relationships/image" Target="../media/image20.emf" /><Relationship Id="rId17" Type="http://schemas.openxmlformats.org/officeDocument/2006/relationships/image" Target="../media/image29.emf" /><Relationship Id="rId18" Type="http://schemas.openxmlformats.org/officeDocument/2006/relationships/image" Target="../media/image22.emf" /><Relationship Id="rId19" Type="http://schemas.openxmlformats.org/officeDocument/2006/relationships/image" Target="../media/image25.emf" /><Relationship Id="rId20" Type="http://schemas.openxmlformats.org/officeDocument/2006/relationships/image" Target="../media/image28.emf" /><Relationship Id="rId21" Type="http://schemas.openxmlformats.org/officeDocument/2006/relationships/image" Target="../media/image30.emf" /><Relationship Id="rId22" Type="http://schemas.openxmlformats.org/officeDocument/2006/relationships/image" Target="../media/image17.emf" /><Relationship Id="rId23" Type="http://schemas.openxmlformats.org/officeDocument/2006/relationships/image" Target="../media/image21.emf" /><Relationship Id="rId24" Type="http://schemas.openxmlformats.org/officeDocument/2006/relationships/image" Target="../media/image19.emf" /><Relationship Id="rId2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2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185</xdr:row>
      <xdr:rowOff>47625</xdr:rowOff>
    </xdr:from>
    <xdr:to>
      <xdr:col>10</xdr:col>
      <xdr:colOff>0</xdr:colOff>
      <xdr:row>187</xdr:row>
      <xdr:rowOff>171450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74056875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188</xdr:row>
      <xdr:rowOff>85725</xdr:rowOff>
    </xdr:from>
    <xdr:to>
      <xdr:col>10</xdr:col>
      <xdr:colOff>9525</xdr:colOff>
      <xdr:row>190</xdr:row>
      <xdr:rowOff>219075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748379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191</xdr:row>
      <xdr:rowOff>228600</xdr:rowOff>
    </xdr:from>
    <xdr:to>
      <xdr:col>9</xdr:col>
      <xdr:colOff>1038225</xdr:colOff>
      <xdr:row>194</xdr:row>
      <xdr:rowOff>133350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75723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195</xdr:row>
      <xdr:rowOff>76200</xdr:rowOff>
    </xdr:from>
    <xdr:to>
      <xdr:col>10</xdr:col>
      <xdr:colOff>0</xdr:colOff>
      <xdr:row>197</xdr:row>
      <xdr:rowOff>180975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76561950"/>
          <a:ext cx="5381625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198</xdr:row>
      <xdr:rowOff>133350</xdr:rowOff>
    </xdr:from>
    <xdr:to>
      <xdr:col>10</xdr:col>
      <xdr:colOff>0</xdr:colOff>
      <xdr:row>201</xdr:row>
      <xdr:rowOff>19050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773620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201</xdr:row>
      <xdr:rowOff>200025</xdr:rowOff>
    </xdr:from>
    <xdr:to>
      <xdr:col>10</xdr:col>
      <xdr:colOff>9525</xdr:colOff>
      <xdr:row>204</xdr:row>
      <xdr:rowOff>95250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7817167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205</xdr:row>
      <xdr:rowOff>47625</xdr:rowOff>
    </xdr:from>
    <xdr:to>
      <xdr:col>9</xdr:col>
      <xdr:colOff>1038225</xdr:colOff>
      <xdr:row>207</xdr:row>
      <xdr:rowOff>161925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79009875"/>
          <a:ext cx="53721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220</xdr:row>
      <xdr:rowOff>9525</xdr:rowOff>
    </xdr:from>
    <xdr:to>
      <xdr:col>10</xdr:col>
      <xdr:colOff>0</xdr:colOff>
      <xdr:row>222</xdr:row>
      <xdr:rowOff>152400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05400" y="826865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223</xdr:row>
      <xdr:rowOff>104775</xdr:rowOff>
    </xdr:from>
    <xdr:to>
      <xdr:col>10</xdr:col>
      <xdr:colOff>0</xdr:colOff>
      <xdr:row>225</xdr:row>
      <xdr:rowOff>228600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05400" y="83524725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227</xdr:row>
      <xdr:rowOff>0</xdr:rowOff>
    </xdr:from>
    <xdr:to>
      <xdr:col>10</xdr:col>
      <xdr:colOff>0</xdr:colOff>
      <xdr:row>229</xdr:row>
      <xdr:rowOff>133350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05400" y="844105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230</xdr:row>
      <xdr:rowOff>133350</xdr:rowOff>
    </xdr:from>
    <xdr:to>
      <xdr:col>9</xdr:col>
      <xdr:colOff>1038225</xdr:colOff>
      <xdr:row>233</xdr:row>
      <xdr:rowOff>28575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95875" y="852868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234</xdr:row>
      <xdr:rowOff>38100</xdr:rowOff>
    </xdr:from>
    <xdr:to>
      <xdr:col>9</xdr:col>
      <xdr:colOff>1038225</xdr:colOff>
      <xdr:row>236</xdr:row>
      <xdr:rowOff>161925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95875" y="861822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238</xdr:row>
      <xdr:rowOff>9525</xdr:rowOff>
    </xdr:from>
    <xdr:to>
      <xdr:col>9</xdr:col>
      <xdr:colOff>1038225</xdr:colOff>
      <xdr:row>240</xdr:row>
      <xdr:rowOff>142875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95875" y="871442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241</xdr:row>
      <xdr:rowOff>171450</xdr:rowOff>
    </xdr:from>
    <xdr:to>
      <xdr:col>10</xdr:col>
      <xdr:colOff>0</xdr:colOff>
      <xdr:row>244</xdr:row>
      <xdr:rowOff>57150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880491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245</xdr:row>
      <xdr:rowOff>114300</xdr:rowOff>
    </xdr:from>
    <xdr:to>
      <xdr:col>10</xdr:col>
      <xdr:colOff>9525</xdr:colOff>
      <xdr:row>248</xdr:row>
      <xdr:rowOff>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889825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261</xdr:row>
      <xdr:rowOff>19050</xdr:rowOff>
    </xdr:from>
    <xdr:to>
      <xdr:col>9</xdr:col>
      <xdr:colOff>1038225</xdr:colOff>
      <xdr:row>263</xdr:row>
      <xdr:rowOff>161925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95875" y="928497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264</xdr:row>
      <xdr:rowOff>133350</xdr:rowOff>
    </xdr:from>
    <xdr:to>
      <xdr:col>10</xdr:col>
      <xdr:colOff>0</xdr:colOff>
      <xdr:row>267</xdr:row>
      <xdr:rowOff>19050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05400" y="937069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268</xdr:row>
      <xdr:rowOff>38100</xdr:rowOff>
    </xdr:from>
    <xdr:to>
      <xdr:col>10</xdr:col>
      <xdr:colOff>0</xdr:colOff>
      <xdr:row>270</xdr:row>
      <xdr:rowOff>161925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946023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281</xdr:row>
      <xdr:rowOff>0</xdr:rowOff>
    </xdr:from>
    <xdr:to>
      <xdr:col>10</xdr:col>
      <xdr:colOff>0</xdr:colOff>
      <xdr:row>283</xdr:row>
      <xdr:rowOff>133350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05400" y="977836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284</xdr:row>
      <xdr:rowOff>19050</xdr:rowOff>
    </xdr:from>
    <xdr:to>
      <xdr:col>10</xdr:col>
      <xdr:colOff>9525</xdr:colOff>
      <xdr:row>286</xdr:row>
      <xdr:rowOff>161925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14925" y="985456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287</xdr:row>
      <xdr:rowOff>104775</xdr:rowOff>
    </xdr:from>
    <xdr:to>
      <xdr:col>10</xdr:col>
      <xdr:colOff>0</xdr:colOff>
      <xdr:row>290</xdr:row>
      <xdr:rowOff>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05400" y="993743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290</xdr:row>
      <xdr:rowOff>190500</xdr:rowOff>
    </xdr:from>
    <xdr:to>
      <xdr:col>10</xdr:col>
      <xdr:colOff>9525</xdr:colOff>
      <xdr:row>293</xdr:row>
      <xdr:rowOff>85725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1002030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294</xdr:row>
      <xdr:rowOff>28575</xdr:rowOff>
    </xdr:from>
    <xdr:to>
      <xdr:col>9</xdr:col>
      <xdr:colOff>1038225</xdr:colOff>
      <xdr:row>296</xdr:row>
      <xdr:rowOff>161925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95875" y="101031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297</xdr:row>
      <xdr:rowOff>76200</xdr:rowOff>
    </xdr:from>
    <xdr:to>
      <xdr:col>9</xdr:col>
      <xdr:colOff>1038225</xdr:colOff>
      <xdr:row>299</xdr:row>
      <xdr:rowOff>219075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95875" y="101822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300</xdr:row>
      <xdr:rowOff>171450</xdr:rowOff>
    </xdr:from>
    <xdr:to>
      <xdr:col>10</xdr:col>
      <xdr:colOff>9525</xdr:colOff>
      <xdr:row>304</xdr:row>
      <xdr:rowOff>104775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86350" y="102660450"/>
          <a:ext cx="540067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306</xdr:row>
      <xdr:rowOff>19050</xdr:rowOff>
    </xdr:from>
    <xdr:to>
      <xdr:col>10</xdr:col>
      <xdr:colOff>9525</xdr:colOff>
      <xdr:row>310</xdr:row>
      <xdr:rowOff>28575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14925" y="1035653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181</xdr:row>
      <xdr:rowOff>190500</xdr:rowOff>
    </xdr:from>
    <xdr:to>
      <xdr:col>10</xdr:col>
      <xdr:colOff>0</xdr:colOff>
      <xdr:row>184</xdr:row>
      <xdr:rowOff>85725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05400" y="732091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2"/>
      <c r="B1" s="112"/>
      <c r="C1" s="112"/>
      <c r="D1" s="112"/>
      <c r="E1" s="112"/>
    </row>
    <row r="2" spans="1:5" ht="12.75">
      <c r="A2" s="111"/>
      <c r="B2" s="111"/>
      <c r="C2" s="111"/>
      <c r="D2" s="111"/>
      <c r="E2" s="111"/>
    </row>
    <row r="3" spans="1:5" ht="12.75">
      <c r="A3" s="111"/>
      <c r="B3" s="111"/>
      <c r="C3" s="111"/>
      <c r="D3" s="111"/>
      <c r="E3" s="111"/>
    </row>
    <row r="4" spans="1:5" ht="12.75">
      <c r="A4" s="111"/>
      <c r="B4" s="111"/>
      <c r="C4" s="111"/>
      <c r="D4" s="111"/>
      <c r="E4" s="111"/>
    </row>
    <row r="5" spans="1:5" ht="12.75">
      <c r="A5" s="111"/>
      <c r="B5" s="111"/>
      <c r="C5" s="111"/>
      <c r="D5" s="111"/>
      <c r="E5" s="111"/>
    </row>
    <row r="6" spans="1:5" ht="12.75">
      <c r="A6" s="111"/>
      <c r="B6" s="111"/>
      <c r="C6" s="111"/>
      <c r="D6" s="111"/>
      <c r="E6" s="111"/>
    </row>
    <row r="7" spans="1:5" ht="12.75">
      <c r="A7" s="111"/>
      <c r="B7" s="111"/>
      <c r="C7" s="111"/>
      <c r="D7" s="111"/>
      <c r="E7" s="111"/>
    </row>
    <row r="8" spans="1:5" ht="12.75">
      <c r="A8" s="111"/>
      <c r="B8" s="111"/>
      <c r="C8" s="111"/>
      <c r="D8" s="111"/>
      <c r="E8" s="111"/>
    </row>
    <row r="9" spans="1:5" ht="12.75">
      <c r="A9" s="111"/>
      <c r="B9" s="111"/>
      <c r="C9" s="111"/>
      <c r="D9" s="111"/>
      <c r="E9" s="111"/>
    </row>
    <row r="10" spans="1:5" ht="12.75">
      <c r="A10" s="111"/>
      <c r="B10" s="111"/>
      <c r="C10" s="111"/>
      <c r="D10" s="111"/>
      <c r="E10" s="111"/>
    </row>
    <row r="11" spans="1:5" ht="12.75">
      <c r="A11" s="111"/>
      <c r="B11" s="111"/>
      <c r="C11" s="111"/>
      <c r="D11" s="111"/>
      <c r="E11" s="111"/>
    </row>
    <row r="12" spans="1:5" ht="12.75">
      <c r="A12" s="111"/>
      <c r="B12" s="111"/>
      <c r="C12" s="111"/>
      <c r="D12" s="111"/>
      <c r="E12" s="111"/>
    </row>
    <row r="13" spans="1:5" ht="12.75">
      <c r="A13" s="111"/>
      <c r="B13" s="111"/>
      <c r="C13" s="111"/>
      <c r="D13" s="111"/>
      <c r="E13" s="111"/>
    </row>
    <row r="14" spans="1:5" ht="12.75">
      <c r="A14" s="111"/>
      <c r="B14" s="111"/>
      <c r="C14" s="111"/>
      <c r="D14" s="111"/>
      <c r="E14" s="111"/>
    </row>
    <row r="15" spans="1:5" ht="12.75">
      <c r="A15" s="111"/>
      <c r="B15" s="111"/>
      <c r="C15" s="111"/>
      <c r="D15" s="111"/>
      <c r="E15" s="111"/>
    </row>
    <row r="16" spans="1:5" ht="12.75">
      <c r="A16" s="111"/>
      <c r="B16" s="111"/>
      <c r="C16" s="111"/>
      <c r="D16" s="111"/>
      <c r="E16" s="111"/>
    </row>
    <row r="17" spans="1:5" ht="12.75">
      <c r="A17" s="111"/>
      <c r="B17" s="111"/>
      <c r="C17" s="111"/>
      <c r="D17" s="111"/>
      <c r="E17" s="111"/>
    </row>
    <row r="18" spans="1:5" ht="12.75">
      <c r="A18" s="111"/>
      <c r="B18" s="111"/>
      <c r="C18" s="111"/>
      <c r="D18" s="111"/>
      <c r="E18" s="111"/>
    </row>
    <row r="19" spans="1:5" ht="12.75">
      <c r="A19" s="111"/>
      <c r="B19" s="111"/>
      <c r="C19" s="111"/>
      <c r="D19" s="111"/>
      <c r="E19" s="111"/>
    </row>
    <row r="20" spans="1:5" ht="12.75">
      <c r="A20" s="111"/>
      <c r="B20" s="111"/>
      <c r="C20" s="111"/>
      <c r="D20" s="111"/>
      <c r="E20" s="111"/>
    </row>
    <row r="21" spans="1:5" ht="12.75">
      <c r="A21" s="111"/>
      <c r="B21" s="111"/>
      <c r="C21" s="111"/>
      <c r="D21" s="111"/>
      <c r="E21" s="111"/>
    </row>
    <row r="22" spans="1:5" ht="12.75">
      <c r="A22" s="111"/>
      <c r="B22" s="111"/>
      <c r="C22" s="111"/>
      <c r="D22" s="111"/>
      <c r="E22" s="111"/>
    </row>
    <row r="23" spans="1:5" ht="12.75">
      <c r="A23" s="111"/>
      <c r="B23" s="111"/>
      <c r="C23" s="111"/>
      <c r="D23" s="111"/>
      <c r="E23" s="111"/>
    </row>
    <row r="24" spans="1:5" ht="12.75">
      <c r="A24" s="111"/>
      <c r="B24" s="111"/>
      <c r="C24" s="111"/>
      <c r="D24" s="111"/>
      <c r="E24" s="111"/>
    </row>
    <row r="25" spans="1:10" ht="12.75">
      <c r="A25" s="110"/>
      <c r="B25" s="110"/>
      <c r="C25" s="110"/>
      <c r="D25" s="110"/>
      <c r="E25" s="110"/>
      <c r="F25" s="111"/>
      <c r="G25" s="111"/>
      <c r="H25" s="111"/>
      <c r="I25" s="111"/>
      <c r="J25" s="111"/>
    </row>
    <row r="26" spans="1:10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10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0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0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</row>
    <row r="54" spans="1:10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</row>
    <row r="55" spans="6:10" ht="12.75">
      <c r="F55" s="110"/>
      <c r="G55" s="110"/>
      <c r="H55" s="110"/>
      <c r="I55" s="110"/>
      <c r="J55" s="110"/>
    </row>
    <row r="56" spans="6:10" ht="12.75">
      <c r="F56" s="113"/>
      <c r="G56" s="113"/>
      <c r="H56" s="113"/>
      <c r="I56" s="113"/>
      <c r="J56" s="114"/>
    </row>
    <row r="57" spans="6:10" ht="12.75">
      <c r="F57" s="113"/>
      <c r="G57" s="113"/>
      <c r="H57" s="113"/>
      <c r="I57" s="113"/>
      <c r="J57" s="114"/>
    </row>
    <row r="58" spans="6:10" ht="12.75">
      <c r="F58" s="113"/>
      <c r="G58" s="113"/>
      <c r="H58" s="113"/>
      <c r="I58" s="113"/>
      <c r="J58" s="114"/>
    </row>
    <row r="59" spans="6:10" ht="12.75">
      <c r="F59" s="113"/>
      <c r="G59" s="113"/>
      <c r="H59" s="113"/>
      <c r="I59" s="113"/>
      <c r="J59" s="114"/>
    </row>
    <row r="60" spans="6:10" ht="12.75">
      <c r="F60" s="113"/>
      <c r="G60" s="113"/>
      <c r="H60" s="113"/>
      <c r="I60" s="113"/>
      <c r="J60" s="114"/>
    </row>
    <row r="61" spans="6:10" ht="12.75">
      <c r="F61" s="113"/>
      <c r="G61" s="113"/>
      <c r="H61" s="113"/>
      <c r="I61" s="113"/>
      <c r="J61" s="114"/>
    </row>
    <row r="62" spans="6:10" ht="12.75">
      <c r="F62" s="113"/>
      <c r="G62" s="113"/>
      <c r="H62" s="113"/>
      <c r="I62" s="113"/>
      <c r="J62" s="114"/>
    </row>
    <row r="63" spans="6:10" ht="12.75">
      <c r="F63" s="113"/>
      <c r="G63" s="113"/>
      <c r="H63" s="113"/>
      <c r="I63" s="113"/>
      <c r="J63" s="114"/>
    </row>
    <row r="64" spans="6:10" ht="12.75">
      <c r="F64" s="113"/>
      <c r="G64" s="113"/>
      <c r="H64" s="113"/>
      <c r="I64" s="113"/>
      <c r="J64" s="114"/>
    </row>
    <row r="65" spans="6:10" ht="12.75">
      <c r="F65" s="113"/>
      <c r="G65" s="113"/>
      <c r="H65" s="113"/>
      <c r="I65" s="113"/>
      <c r="J65" s="114"/>
    </row>
    <row r="66" spans="6:10" ht="12.75">
      <c r="F66" s="113"/>
      <c r="G66" s="113"/>
      <c r="H66" s="113"/>
      <c r="I66" s="113"/>
      <c r="J66" s="114"/>
    </row>
    <row r="67" spans="6:10" ht="12.75">
      <c r="F67" s="113"/>
      <c r="G67" s="113"/>
      <c r="H67" s="113"/>
      <c r="I67" s="113"/>
      <c r="J67" s="114"/>
    </row>
    <row r="68" spans="6:10" ht="12.75">
      <c r="F68" s="113"/>
      <c r="G68" s="113"/>
      <c r="H68" s="113"/>
      <c r="I68" s="113"/>
      <c r="J68" s="114"/>
    </row>
    <row r="69" spans="6:10" ht="12.75">
      <c r="F69" s="113"/>
      <c r="G69" s="113"/>
      <c r="H69" s="113"/>
      <c r="I69" s="113"/>
      <c r="J69" s="114"/>
    </row>
    <row r="70" spans="6:10" ht="12.75">
      <c r="F70" s="113"/>
      <c r="G70" s="113"/>
      <c r="H70" s="113"/>
      <c r="I70" s="113"/>
      <c r="J70" s="114"/>
    </row>
    <row r="71" spans="6:10" ht="12.75">
      <c r="F71" s="113"/>
      <c r="G71" s="113"/>
      <c r="H71" s="113"/>
      <c r="I71" s="113"/>
      <c r="J71" s="114"/>
    </row>
    <row r="72" spans="6:10" ht="12.75">
      <c r="F72" s="113"/>
      <c r="G72" s="113"/>
      <c r="H72" s="113"/>
      <c r="I72" s="113"/>
      <c r="J72" s="114"/>
    </row>
    <row r="73" spans="6:10" ht="12.75">
      <c r="F73" s="113"/>
      <c r="G73" s="113"/>
      <c r="H73" s="113"/>
      <c r="I73" s="113"/>
      <c r="J73" s="114"/>
    </row>
    <row r="74" spans="6:10" ht="12.75">
      <c r="F74" s="113"/>
      <c r="G74" s="113"/>
      <c r="H74" s="113"/>
      <c r="I74" s="113"/>
      <c r="J74" s="114"/>
    </row>
    <row r="75" spans="6:10" ht="12.75">
      <c r="F75" s="115"/>
      <c r="G75" s="115"/>
      <c r="H75" s="115"/>
      <c r="I75" s="115"/>
      <c r="J75" s="116"/>
    </row>
    <row r="76" spans="6:10" ht="12.75">
      <c r="F76" s="117"/>
      <c r="G76" s="118"/>
      <c r="H76" s="118"/>
      <c r="I76" s="118"/>
      <c r="J76" s="119"/>
    </row>
    <row r="77" spans="6:10" ht="12.75">
      <c r="F77" s="117"/>
      <c r="G77" s="118"/>
      <c r="H77" s="118"/>
      <c r="I77" s="118"/>
      <c r="J77" s="119"/>
    </row>
    <row r="78" spans="6:10" ht="12.75">
      <c r="F78" s="117"/>
      <c r="G78" s="118"/>
      <c r="H78" s="118"/>
      <c r="I78" s="118"/>
      <c r="J78" s="119"/>
    </row>
    <row r="79" spans="6:10" ht="12.75">
      <c r="F79" s="117"/>
      <c r="G79" s="118"/>
      <c r="H79" s="118"/>
      <c r="I79" s="118"/>
      <c r="J79" s="119"/>
    </row>
    <row r="80" spans="6:10" ht="12.75">
      <c r="F80" s="117"/>
      <c r="G80" s="118"/>
      <c r="H80" s="118"/>
      <c r="I80" s="118"/>
      <c r="J80" s="119"/>
    </row>
    <row r="81" spans="6:10" ht="12.75">
      <c r="F81" s="117"/>
      <c r="G81" s="118"/>
      <c r="H81" s="118"/>
      <c r="I81" s="118"/>
      <c r="J81" s="119"/>
    </row>
    <row r="82" spans="6:10" ht="12.75">
      <c r="F82" s="117"/>
      <c r="G82" s="118"/>
      <c r="H82" s="118"/>
      <c r="I82" s="118"/>
      <c r="J82" s="119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0"/>
      <c r="B1" s="121"/>
      <c r="C1" s="121"/>
      <c r="D1" s="121"/>
      <c r="E1" s="133"/>
      <c r="F1" s="134"/>
      <c r="G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2"/>
      <c r="AI1" s="122"/>
      <c r="AJ1" s="122"/>
      <c r="AK1" s="122"/>
      <c r="AL1" s="122"/>
      <c r="AM1" s="122"/>
    </row>
    <row r="2" spans="1:39" ht="12.75">
      <c r="A2" s="122"/>
      <c r="B2" s="122"/>
      <c r="C2" s="122"/>
      <c r="D2" s="122"/>
      <c r="E2" s="122"/>
      <c r="F2" s="135"/>
      <c r="G2" s="123"/>
      <c r="H2" s="124"/>
      <c r="I2" s="124"/>
      <c r="J2" s="124"/>
      <c r="K2" s="124"/>
      <c r="L2" s="124"/>
      <c r="M2" s="124"/>
      <c r="N2" s="125"/>
      <c r="O2" s="123"/>
      <c r="P2" s="124"/>
      <c r="Q2" s="124"/>
      <c r="R2" s="124"/>
      <c r="S2" s="124"/>
      <c r="T2" s="124"/>
      <c r="U2" s="124"/>
      <c r="V2" s="124"/>
      <c r="W2" s="125"/>
      <c r="X2" s="123"/>
      <c r="Y2" s="124"/>
      <c r="Z2" s="124"/>
      <c r="AA2" s="125"/>
      <c r="AB2" s="123"/>
      <c r="AC2" s="124"/>
      <c r="AD2" s="124"/>
      <c r="AE2" s="124"/>
      <c r="AF2" s="125"/>
      <c r="AG2" s="123"/>
      <c r="AH2" s="122"/>
      <c r="AI2" s="122"/>
      <c r="AJ2" s="122"/>
      <c r="AK2" s="122"/>
      <c r="AL2" s="122"/>
      <c r="AM2" s="122"/>
    </row>
    <row r="3" spans="1:39" ht="12.75">
      <c r="A3" s="122"/>
      <c r="B3" s="122"/>
      <c r="C3" s="122"/>
      <c r="D3" s="122"/>
      <c r="E3" s="122"/>
      <c r="F3" s="135"/>
      <c r="G3" s="126"/>
      <c r="H3" s="127"/>
      <c r="I3" s="127"/>
      <c r="J3" s="127"/>
      <c r="K3" s="127"/>
      <c r="L3" s="127"/>
      <c r="M3" s="127"/>
      <c r="N3" s="128"/>
      <c r="O3" s="126"/>
      <c r="P3" s="127"/>
      <c r="Q3" s="127"/>
      <c r="R3" s="127"/>
      <c r="S3" s="127"/>
      <c r="T3" s="127"/>
      <c r="U3" s="127"/>
      <c r="V3" s="127"/>
      <c r="W3" s="128"/>
      <c r="X3" s="126"/>
      <c r="Y3" s="127"/>
      <c r="Z3" s="127"/>
      <c r="AA3" s="128"/>
      <c r="AB3" s="126"/>
      <c r="AC3" s="127"/>
      <c r="AD3" s="127"/>
      <c r="AE3" s="127"/>
      <c r="AF3" s="128"/>
      <c r="AG3" s="126"/>
      <c r="AH3" s="123"/>
      <c r="AI3" s="124"/>
      <c r="AJ3" s="125"/>
      <c r="AK3" s="123"/>
      <c r="AL3" s="124"/>
      <c r="AM3" s="125"/>
    </row>
    <row r="4" spans="1:39" ht="12.75">
      <c r="A4" s="122"/>
      <c r="B4" s="122"/>
      <c r="C4" s="122"/>
      <c r="D4" s="122"/>
      <c r="E4" s="122"/>
      <c r="F4" s="1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6"/>
      <c r="AI4" s="127"/>
      <c r="AJ4" s="128"/>
      <c r="AK4" s="126"/>
      <c r="AL4" s="127"/>
      <c r="AM4" s="128"/>
    </row>
    <row r="5" spans="1:39" ht="12.75">
      <c r="A5" s="129"/>
      <c r="B5" s="129"/>
      <c r="C5" s="129"/>
      <c r="D5" s="129"/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9"/>
      <c r="AI5" s="129"/>
      <c r="AJ5" s="129"/>
      <c r="AK5" s="129"/>
      <c r="AL5" s="129"/>
      <c r="AM5" s="129"/>
    </row>
    <row r="6" spans="1:39" ht="12.75">
      <c r="A6" s="111"/>
      <c r="B6" s="111"/>
      <c r="C6" s="111"/>
      <c r="D6" s="111"/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0"/>
      <c r="AI6" s="110"/>
      <c r="AJ6" s="110"/>
      <c r="AK6" s="110"/>
      <c r="AL6" s="110"/>
      <c r="AM6" s="110"/>
    </row>
    <row r="7" spans="1:39" ht="12.75" customHeight="1">
      <c r="A7" s="132"/>
      <c r="B7" s="132"/>
      <c r="C7" s="132"/>
      <c r="D7" s="132"/>
      <c r="E7" s="1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0"/>
      <c r="AI7" s="110"/>
      <c r="AJ7" s="110"/>
      <c r="AK7" s="110"/>
      <c r="AL7" s="110"/>
      <c r="AM7" s="110"/>
    </row>
    <row r="8" spans="1:39" ht="12.75">
      <c r="A8" s="131"/>
      <c r="B8" s="131"/>
      <c r="C8" s="131"/>
      <c r="D8" s="131"/>
      <c r="E8" s="131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0"/>
      <c r="AI8" s="110"/>
      <c r="AJ8" s="110"/>
      <c r="AK8" s="110"/>
      <c r="AL8" s="110"/>
      <c r="AM8" s="110"/>
    </row>
    <row r="9" spans="1:39" ht="12.75">
      <c r="A9" s="131"/>
      <c r="B9" s="131"/>
      <c r="C9" s="131"/>
      <c r="D9" s="131"/>
      <c r="E9" s="131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0"/>
      <c r="AI9" s="110"/>
      <c r="AJ9" s="110"/>
      <c r="AK9" s="110"/>
      <c r="AL9" s="110"/>
      <c r="AM9" s="110"/>
    </row>
    <row r="10" spans="1:39" ht="12.75">
      <c r="A10" s="131"/>
      <c r="B10" s="131"/>
      <c r="C10" s="131"/>
      <c r="D10" s="131"/>
      <c r="E10" s="131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0"/>
      <c r="AI10" s="110"/>
      <c r="AJ10" s="110"/>
      <c r="AK10" s="110"/>
      <c r="AL10" s="110"/>
      <c r="AM10" s="110"/>
    </row>
    <row r="11" spans="1:39" ht="12.75" customHeight="1">
      <c r="A11" s="131"/>
      <c r="B11" s="131"/>
      <c r="C11" s="131"/>
      <c r="D11" s="131"/>
      <c r="E11" s="131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0"/>
      <c r="AI11" s="110"/>
      <c r="AJ11" s="110"/>
      <c r="AK11" s="110"/>
      <c r="AL11" s="110"/>
      <c r="AM11" s="110"/>
    </row>
    <row r="12" spans="1:39" ht="12.75">
      <c r="A12" s="131"/>
      <c r="B12" s="131"/>
      <c r="C12" s="131"/>
      <c r="D12" s="131"/>
      <c r="E12" s="131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0"/>
      <c r="AI12" s="110"/>
      <c r="AJ12" s="110"/>
      <c r="AK12" s="110"/>
      <c r="AL12" s="110"/>
      <c r="AM12" s="110"/>
    </row>
    <row r="13" spans="1:39" ht="12.75">
      <c r="A13" s="131"/>
      <c r="B13" s="131"/>
      <c r="C13" s="131"/>
      <c r="D13" s="131"/>
      <c r="E13" s="131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0"/>
      <c r="AI13" s="110"/>
      <c r="AJ13" s="110"/>
      <c r="AK13" s="110"/>
      <c r="AL13" s="110"/>
      <c r="AM13" s="110"/>
    </row>
    <row r="14" spans="1:39" ht="12.75">
      <c r="A14" s="131"/>
      <c r="B14" s="131"/>
      <c r="C14" s="131"/>
      <c r="D14" s="131"/>
      <c r="E14" s="131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0"/>
      <c r="AI14" s="110"/>
      <c r="AJ14" s="110"/>
      <c r="AK14" s="110"/>
      <c r="AL14" s="110"/>
      <c r="AM14" s="110"/>
    </row>
    <row r="15" spans="1:39" ht="12.75" customHeight="1">
      <c r="A15" s="131"/>
      <c r="B15" s="131"/>
      <c r="C15" s="131"/>
      <c r="D15" s="131"/>
      <c r="E15" s="131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0"/>
      <c r="AI15" s="110"/>
      <c r="AJ15" s="110"/>
      <c r="AK15" s="110"/>
      <c r="AL15" s="110"/>
      <c r="AM15" s="110"/>
    </row>
    <row r="16" spans="1:39" ht="12.75" customHeight="1">
      <c r="A16" s="131"/>
      <c r="B16" s="131"/>
      <c r="C16" s="131"/>
      <c r="D16" s="131"/>
      <c r="E16" s="131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0"/>
      <c r="AI16" s="110"/>
      <c r="AJ16" s="110"/>
      <c r="AK16" s="110"/>
      <c r="AL16" s="110"/>
      <c r="AM16" s="110"/>
    </row>
    <row r="17" spans="1:39" ht="12.75" customHeight="1">
      <c r="A17" s="131"/>
      <c r="B17" s="131"/>
      <c r="C17" s="131"/>
      <c r="D17" s="131"/>
      <c r="E17" s="131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0"/>
      <c r="AI17" s="110"/>
      <c r="AJ17" s="110"/>
      <c r="AK17" s="110"/>
      <c r="AL17" s="110"/>
      <c r="AM17" s="110"/>
    </row>
    <row r="18" spans="1:39" ht="12.75" customHeight="1">
      <c r="A18" s="131"/>
      <c r="B18" s="131"/>
      <c r="C18" s="131"/>
      <c r="D18" s="131"/>
      <c r="E18" s="131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0"/>
      <c r="AI18" s="110"/>
      <c r="AJ18" s="110"/>
      <c r="AK18" s="110"/>
      <c r="AL18" s="110"/>
      <c r="AM18" s="110"/>
    </row>
    <row r="19" spans="1:39" ht="12.75" customHeight="1">
      <c r="A19" s="131"/>
      <c r="B19" s="131"/>
      <c r="C19" s="131"/>
      <c r="D19" s="131"/>
      <c r="E19" s="131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0"/>
      <c r="AI19" s="110"/>
      <c r="AJ19" s="110"/>
      <c r="AK19" s="110"/>
      <c r="AL19" s="110"/>
      <c r="AM19" s="110"/>
    </row>
    <row r="20" spans="1:39" ht="12.75" customHeight="1">
      <c r="A20" s="131"/>
      <c r="B20" s="131"/>
      <c r="C20" s="131"/>
      <c r="D20" s="131"/>
      <c r="E20" s="131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0"/>
      <c r="AI20" s="110"/>
      <c r="AJ20" s="110"/>
      <c r="AK20" s="110"/>
      <c r="AL20" s="110"/>
      <c r="AM20" s="110"/>
    </row>
    <row r="21" spans="1:39" ht="12.75" customHeight="1">
      <c r="A21" s="131"/>
      <c r="B21" s="131"/>
      <c r="C21" s="131"/>
      <c r="D21" s="131"/>
      <c r="E21" s="131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0"/>
      <c r="AI21" s="110"/>
      <c r="AJ21" s="110"/>
      <c r="AK21" s="110"/>
      <c r="AL21" s="110"/>
      <c r="AM21" s="110"/>
    </row>
    <row r="22" spans="1:39" ht="12.75" customHeight="1">
      <c r="A22" s="131"/>
      <c r="B22" s="131"/>
      <c r="C22" s="131"/>
      <c r="D22" s="131"/>
      <c r="E22" s="131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1" t="s">
        <v>12</v>
      </c>
      <c r="U22" s="131"/>
      <c r="V22" s="131"/>
      <c r="W22" s="131"/>
      <c r="X22" s="131"/>
      <c r="Y22" s="2"/>
      <c r="Z22" s="2"/>
      <c r="AA22" s="2"/>
      <c r="AB22" s="2"/>
      <c r="AC22" s="2"/>
      <c r="AD22" s="2"/>
      <c r="AE22" s="2"/>
      <c r="AF22" s="2"/>
      <c r="AG22" s="2"/>
      <c r="AH22" s="110"/>
      <c r="AI22" s="110"/>
      <c r="AJ22" s="110"/>
      <c r="AK22" s="110"/>
      <c r="AL22" s="110"/>
      <c r="AM22" s="110"/>
    </row>
    <row r="23" spans="1:39" ht="12.75">
      <c r="A23" s="131"/>
      <c r="B23" s="131"/>
      <c r="C23" s="131"/>
      <c r="D23" s="131"/>
      <c r="E23" s="131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1"/>
      <c r="U23" s="131"/>
      <c r="V23" s="131"/>
      <c r="W23" s="131"/>
      <c r="X23" s="131"/>
      <c r="Y23" s="2"/>
      <c r="Z23" s="2"/>
      <c r="AA23" s="2"/>
      <c r="AB23" s="2"/>
      <c r="AC23" s="2"/>
      <c r="AD23" s="2"/>
      <c r="AE23" s="2"/>
      <c r="AF23" s="2"/>
      <c r="AG23" s="2"/>
      <c r="AH23" s="110"/>
      <c r="AI23" s="110"/>
      <c r="AJ23" s="110"/>
      <c r="AK23" s="110"/>
      <c r="AL23" s="110"/>
      <c r="AM23" s="110"/>
    </row>
    <row r="24" spans="1:39" ht="12.75">
      <c r="A24" s="131"/>
      <c r="B24" s="131"/>
      <c r="C24" s="131"/>
      <c r="D24" s="131"/>
      <c r="E24" s="131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1" t="s">
        <v>11</v>
      </c>
      <c r="U24" s="131"/>
      <c r="V24" s="131"/>
      <c r="W24" s="131"/>
      <c r="X24" s="131"/>
      <c r="Y24" s="2"/>
      <c r="Z24" s="2"/>
      <c r="AA24" s="2"/>
      <c r="AB24" s="2"/>
      <c r="AC24" s="2"/>
      <c r="AD24" s="2"/>
      <c r="AE24" s="2"/>
      <c r="AF24" s="2"/>
      <c r="AG24" s="2"/>
      <c r="AH24" s="110"/>
      <c r="AI24" s="110"/>
      <c r="AJ24" s="110"/>
      <c r="AK24" s="110"/>
      <c r="AL24" s="110"/>
      <c r="AM24" s="110"/>
    </row>
    <row r="25" spans="1:39" ht="12.75" customHeight="1">
      <c r="A25" s="131"/>
      <c r="B25" s="131"/>
      <c r="C25" s="131"/>
      <c r="D25" s="131"/>
      <c r="E25" s="131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1"/>
      <c r="U25" s="131"/>
      <c r="V25" s="131"/>
      <c r="W25" s="131"/>
      <c r="X25" s="131"/>
      <c r="Y25" s="2"/>
      <c r="Z25" s="2"/>
      <c r="AA25" s="2"/>
      <c r="AB25" s="2"/>
      <c r="AC25" s="2"/>
      <c r="AD25" s="2"/>
      <c r="AE25" s="2"/>
      <c r="AF25" s="2"/>
      <c r="AG25" s="2"/>
      <c r="AH25" s="110"/>
      <c r="AI25" s="110"/>
      <c r="AJ25" s="110"/>
      <c r="AK25" s="110"/>
      <c r="AL25" s="110"/>
      <c r="AM25" s="110"/>
    </row>
    <row r="26" spans="1:39" ht="12.75" customHeight="1">
      <c r="A26" s="131"/>
      <c r="B26" s="131"/>
      <c r="C26" s="131"/>
      <c r="D26" s="131"/>
      <c r="E26" s="131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0"/>
      <c r="U26" s="130"/>
      <c r="V26" s="130"/>
      <c r="W26" s="130"/>
      <c r="X26" s="130"/>
      <c r="Y26" s="2"/>
      <c r="Z26" s="2"/>
      <c r="AA26" s="2"/>
      <c r="AB26" s="2"/>
      <c r="AC26" s="2"/>
      <c r="AD26" s="2"/>
      <c r="AE26" s="2"/>
      <c r="AF26" s="2"/>
      <c r="AG26" s="2"/>
      <c r="AH26" s="110"/>
      <c r="AI26" s="110"/>
      <c r="AJ26" s="110"/>
      <c r="AK26" s="110"/>
      <c r="AL26" s="110"/>
      <c r="AM26" s="110"/>
    </row>
    <row r="27" spans="1:39" ht="12.75">
      <c r="A27" s="131"/>
      <c r="B27" s="131"/>
      <c r="C27" s="131"/>
      <c r="D27" s="131"/>
      <c r="E27" s="13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0"/>
      <c r="U27" s="130"/>
      <c r="V27" s="130"/>
      <c r="W27" s="130"/>
      <c r="X27" s="130"/>
      <c r="Y27" s="2"/>
      <c r="Z27" s="2"/>
      <c r="AA27" s="2"/>
      <c r="AB27" s="2"/>
      <c r="AC27" s="2"/>
      <c r="AD27" s="2"/>
      <c r="AE27" s="2"/>
      <c r="AF27" s="2"/>
      <c r="AG27" s="2"/>
      <c r="AH27" s="110"/>
      <c r="AI27" s="110"/>
      <c r="AJ27" s="110"/>
      <c r="AK27" s="110"/>
      <c r="AL27" s="110"/>
      <c r="AM27" s="110"/>
    </row>
    <row r="28" spans="1:39" ht="12.75">
      <c r="A28" s="131"/>
      <c r="B28" s="131"/>
      <c r="C28" s="131"/>
      <c r="D28" s="131"/>
      <c r="E28" s="131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0"/>
      <c r="U28" s="130"/>
      <c r="V28" s="130"/>
      <c r="W28" s="130"/>
      <c r="X28" s="130"/>
      <c r="Y28" s="2"/>
      <c r="Z28" s="2"/>
      <c r="AA28" s="2"/>
      <c r="AB28" s="2"/>
      <c r="AC28" s="2"/>
      <c r="AD28" s="2"/>
      <c r="AE28" s="2"/>
      <c r="AF28" s="2"/>
      <c r="AG28" s="2"/>
      <c r="AH28" s="110"/>
      <c r="AI28" s="110"/>
      <c r="AJ28" s="110"/>
      <c r="AK28" s="110"/>
      <c r="AL28" s="110"/>
      <c r="AM28" s="110"/>
    </row>
    <row r="29" spans="1:39" ht="12.75">
      <c r="A29" s="131"/>
      <c r="B29" s="131"/>
      <c r="C29" s="131"/>
      <c r="D29" s="131"/>
      <c r="E29" s="131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0"/>
      <c r="U29" s="130"/>
      <c r="V29" s="130"/>
      <c r="W29" s="130"/>
      <c r="X29" s="130"/>
      <c r="Y29" s="2"/>
      <c r="Z29" s="2"/>
      <c r="AA29" s="2"/>
      <c r="AB29" s="2"/>
      <c r="AC29" s="2"/>
      <c r="AD29" s="2"/>
      <c r="AE29" s="2"/>
      <c r="AF29" s="2"/>
      <c r="AG29" s="2"/>
      <c r="AH29" s="110"/>
      <c r="AI29" s="110"/>
      <c r="AJ29" s="110"/>
      <c r="AK29" s="110"/>
      <c r="AL29" s="110"/>
      <c r="AM29" s="110"/>
    </row>
    <row r="30" spans="1:39" ht="12.75">
      <c r="A30" s="131"/>
      <c r="B30" s="131"/>
      <c r="C30" s="131"/>
      <c r="D30" s="131"/>
      <c r="E30" s="131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0"/>
      <c r="U30" s="130"/>
      <c r="V30" s="130"/>
      <c r="W30" s="130"/>
      <c r="X30" s="130"/>
      <c r="Y30" s="2"/>
      <c r="Z30" s="2"/>
      <c r="AA30" s="2"/>
      <c r="AB30" s="2"/>
      <c r="AC30" s="2"/>
      <c r="AD30" s="2"/>
      <c r="AE30" s="2"/>
      <c r="AF30" s="2"/>
      <c r="AG30" s="2"/>
      <c r="AH30" s="110"/>
      <c r="AI30" s="110"/>
      <c r="AJ30" s="110"/>
      <c r="AK30" s="110"/>
      <c r="AL30" s="110"/>
      <c r="AM30" s="110"/>
    </row>
    <row r="31" spans="1:39" ht="12.75">
      <c r="A31" s="131"/>
      <c r="B31" s="131"/>
      <c r="C31" s="131"/>
      <c r="D31" s="131"/>
      <c r="E31" s="131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0"/>
      <c r="U31" s="130"/>
      <c r="V31" s="130"/>
      <c r="W31" s="130"/>
      <c r="X31" s="130"/>
      <c r="Y31" s="2"/>
      <c r="Z31" s="2"/>
      <c r="AA31" s="2"/>
      <c r="AB31" s="2"/>
      <c r="AC31" s="2"/>
      <c r="AD31" s="2"/>
      <c r="AE31" s="2"/>
      <c r="AF31" s="2"/>
      <c r="AG31" s="2"/>
      <c r="AH31" s="110"/>
      <c r="AI31" s="110"/>
      <c r="AJ31" s="110"/>
      <c r="AK31" s="110"/>
      <c r="AL31" s="110"/>
      <c r="AM31" s="110"/>
    </row>
    <row r="32" spans="1:39" ht="12.75">
      <c r="A32" s="131"/>
      <c r="B32" s="131"/>
      <c r="C32" s="131"/>
      <c r="D32" s="131"/>
      <c r="E32" s="131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0"/>
      <c r="U32" s="130"/>
      <c r="V32" s="130"/>
      <c r="W32" s="130"/>
      <c r="X32" s="130"/>
      <c r="Y32" s="2"/>
      <c r="Z32" s="2"/>
      <c r="AA32" s="2"/>
      <c r="AB32" s="2"/>
      <c r="AC32" s="2"/>
      <c r="AD32" s="2"/>
      <c r="AE32" s="2"/>
      <c r="AF32" s="2"/>
      <c r="AG32" s="2"/>
      <c r="AH32" s="110"/>
      <c r="AI32" s="110"/>
      <c r="AJ32" s="110"/>
      <c r="AK32" s="110"/>
      <c r="AL32" s="110"/>
      <c r="AM32" s="110"/>
    </row>
    <row r="33" spans="1:39" ht="12.75">
      <c r="A33" s="131"/>
      <c r="B33" s="131"/>
      <c r="C33" s="131"/>
      <c r="D33" s="131"/>
      <c r="E33" s="13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0"/>
      <c r="U33" s="130"/>
      <c r="V33" s="130"/>
      <c r="W33" s="130"/>
      <c r="X33" s="130"/>
      <c r="Y33" s="2"/>
      <c r="Z33" s="2"/>
      <c r="AA33" s="2"/>
      <c r="AB33" s="2"/>
      <c r="AC33" s="2"/>
      <c r="AD33" s="2"/>
      <c r="AE33" s="2"/>
      <c r="AF33" s="2"/>
      <c r="AG33" s="2"/>
      <c r="AH33" s="110"/>
      <c r="AI33" s="110"/>
      <c r="AJ33" s="110"/>
      <c r="AK33" s="110"/>
      <c r="AL33" s="110"/>
      <c r="AM33" s="110"/>
    </row>
    <row r="34" spans="1:39" ht="12.75">
      <c r="A34" s="131"/>
      <c r="B34" s="131"/>
      <c r="C34" s="131"/>
      <c r="D34" s="131"/>
      <c r="E34" s="131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0"/>
      <c r="U34" s="130"/>
      <c r="V34" s="130"/>
      <c r="W34" s="130"/>
      <c r="X34" s="130"/>
      <c r="Y34" s="2"/>
      <c r="Z34" s="2"/>
      <c r="AA34" s="2"/>
      <c r="AB34" s="2"/>
      <c r="AC34" s="2"/>
      <c r="AD34" s="2"/>
      <c r="AE34" s="2"/>
      <c r="AF34" s="2"/>
      <c r="AG34" s="2"/>
      <c r="AH34" s="110"/>
      <c r="AI34" s="110"/>
      <c r="AJ34" s="110"/>
      <c r="AK34" s="110"/>
      <c r="AL34" s="110"/>
      <c r="AM34" s="110"/>
    </row>
    <row r="35" spans="1:39" ht="12.75">
      <c r="A35" s="131"/>
      <c r="B35" s="131"/>
      <c r="C35" s="131"/>
      <c r="D35" s="131"/>
      <c r="E35" s="131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0"/>
      <c r="U35" s="130"/>
      <c r="V35" s="130"/>
      <c r="W35" s="130"/>
      <c r="X35" s="130"/>
      <c r="Y35" s="2"/>
      <c r="Z35" s="2"/>
      <c r="AA35" s="2"/>
      <c r="AB35" s="2"/>
      <c r="AC35" s="2"/>
      <c r="AD35" s="2"/>
      <c r="AE35" s="2"/>
      <c r="AF35" s="2"/>
      <c r="AG35" s="2"/>
      <c r="AH35" s="110"/>
      <c r="AI35" s="110"/>
      <c r="AJ35" s="110"/>
      <c r="AK35" s="110"/>
      <c r="AL35" s="110"/>
      <c r="AM35" s="110"/>
    </row>
    <row r="36" spans="1:39" ht="12.75">
      <c r="A36" s="131"/>
      <c r="B36" s="131"/>
      <c r="C36" s="131"/>
      <c r="D36" s="131"/>
      <c r="E36" s="131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0"/>
      <c r="U36" s="130"/>
      <c r="V36" s="130"/>
      <c r="W36" s="130"/>
      <c r="X36" s="130"/>
      <c r="Y36" s="2"/>
      <c r="Z36" s="2"/>
      <c r="AA36" s="2"/>
      <c r="AB36" s="2"/>
      <c r="AC36" s="2"/>
      <c r="AD36" s="2"/>
      <c r="AE36" s="2"/>
      <c r="AF36" s="2"/>
      <c r="AG36" s="2"/>
      <c r="AH36" s="110"/>
      <c r="AI36" s="110"/>
      <c r="AJ36" s="110"/>
      <c r="AK36" s="110"/>
      <c r="AL36" s="110"/>
      <c r="AM36" s="110"/>
    </row>
    <row r="37" spans="1:39" ht="12.75">
      <c r="A37" s="131"/>
      <c r="B37" s="131"/>
      <c r="C37" s="131"/>
      <c r="D37" s="131"/>
      <c r="E37" s="131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0"/>
      <c r="U37" s="130"/>
      <c r="V37" s="130"/>
      <c r="W37" s="130"/>
      <c r="X37" s="130"/>
      <c r="Y37" s="2"/>
      <c r="Z37" s="2"/>
      <c r="AA37" s="2"/>
      <c r="AB37" s="2"/>
      <c r="AC37" s="2"/>
      <c r="AD37" s="2"/>
      <c r="AE37" s="2"/>
      <c r="AF37" s="2"/>
      <c r="AG37" s="2"/>
      <c r="AH37" s="110"/>
      <c r="AI37" s="110"/>
      <c r="AJ37" s="110"/>
      <c r="AK37" s="110"/>
      <c r="AL37" s="110"/>
      <c r="AM37" s="110"/>
    </row>
    <row r="38" spans="1:39" ht="12.75">
      <c r="A38" s="131"/>
      <c r="B38" s="131"/>
      <c r="C38" s="131"/>
      <c r="D38" s="131"/>
      <c r="E38" s="131"/>
      <c r="T38" s="130"/>
      <c r="U38" s="130"/>
      <c r="V38" s="130"/>
      <c r="W38" s="130"/>
      <c r="X38" s="130"/>
      <c r="AH38" s="110"/>
      <c r="AI38" s="110"/>
      <c r="AJ38" s="110"/>
      <c r="AK38" s="110"/>
      <c r="AL38" s="110"/>
      <c r="AM38" s="110"/>
    </row>
    <row r="39" spans="1:24" ht="12.75">
      <c r="A39" s="131"/>
      <c r="B39" s="131"/>
      <c r="C39" s="131"/>
      <c r="D39" s="131"/>
      <c r="E39" s="131"/>
      <c r="T39" s="130"/>
      <c r="U39" s="130"/>
      <c r="V39" s="130"/>
      <c r="W39" s="130"/>
      <c r="X39" s="130"/>
    </row>
    <row r="40" spans="1:24" ht="12.75">
      <c r="A40" s="131"/>
      <c r="B40" s="131"/>
      <c r="C40" s="131"/>
      <c r="D40" s="131"/>
      <c r="E40" s="131"/>
      <c r="T40" s="130"/>
      <c r="U40" s="130"/>
      <c r="V40" s="130"/>
      <c r="W40" s="130"/>
      <c r="X40" s="130"/>
    </row>
    <row r="41" spans="1:24" ht="12.75">
      <c r="A41" s="131"/>
      <c r="B41" s="131"/>
      <c r="C41" s="131"/>
      <c r="D41" s="131"/>
      <c r="E41" s="131"/>
      <c r="T41" s="130"/>
      <c r="U41" s="130"/>
      <c r="V41" s="130"/>
      <c r="W41" s="130"/>
      <c r="X41" s="130"/>
    </row>
    <row r="42" spans="1:24" ht="12.75">
      <c r="A42" s="131"/>
      <c r="B42" s="131"/>
      <c r="C42" s="131"/>
      <c r="D42" s="131"/>
      <c r="E42" s="131"/>
      <c r="T42" s="130"/>
      <c r="U42" s="130"/>
      <c r="V42" s="130"/>
      <c r="W42" s="130"/>
      <c r="X42" s="130"/>
    </row>
    <row r="43" spans="1:24" ht="12.75">
      <c r="A43" s="131"/>
      <c r="B43" s="131"/>
      <c r="C43" s="131"/>
      <c r="D43" s="131"/>
      <c r="E43" s="131"/>
      <c r="T43" s="130"/>
      <c r="U43" s="130"/>
      <c r="V43" s="130"/>
      <c r="W43" s="130"/>
      <c r="X43" s="130"/>
    </row>
    <row r="44" spans="1:24" ht="12.75">
      <c r="A44" s="131"/>
      <c r="B44" s="131"/>
      <c r="C44" s="131"/>
      <c r="D44" s="131"/>
      <c r="E44" s="131"/>
      <c r="T44" s="130"/>
      <c r="U44" s="130"/>
      <c r="V44" s="130"/>
      <c r="W44" s="130"/>
      <c r="X44" s="130"/>
    </row>
    <row r="45" spans="1:24" ht="12.75">
      <c r="A45" s="131"/>
      <c r="B45" s="131"/>
      <c r="C45" s="131"/>
      <c r="D45" s="131"/>
      <c r="E45" s="131"/>
      <c r="T45" s="130"/>
      <c r="U45" s="130"/>
      <c r="V45" s="130"/>
      <c r="W45" s="130"/>
      <c r="X45" s="130"/>
    </row>
    <row r="46" spans="1:24" ht="12.75">
      <c r="A46" s="131"/>
      <c r="B46" s="131"/>
      <c r="C46" s="131"/>
      <c r="D46" s="131"/>
      <c r="E46" s="131"/>
      <c r="T46" s="130"/>
      <c r="U46" s="130"/>
      <c r="V46" s="130"/>
      <c r="W46" s="130"/>
      <c r="X46" s="130"/>
    </row>
    <row r="47" spans="1:24" ht="12.75">
      <c r="A47" s="131"/>
      <c r="B47" s="131"/>
      <c r="C47" s="131"/>
      <c r="D47" s="131"/>
      <c r="E47" s="131"/>
      <c r="T47" s="130"/>
      <c r="U47" s="130"/>
      <c r="V47" s="130"/>
      <c r="W47" s="130"/>
      <c r="X47" s="130"/>
    </row>
    <row r="48" spans="1:24" ht="12.75">
      <c r="A48" s="131"/>
      <c r="B48" s="131"/>
      <c r="C48" s="131"/>
      <c r="D48" s="131"/>
      <c r="E48" s="131"/>
      <c r="T48" s="130"/>
      <c r="U48" s="130"/>
      <c r="V48" s="130"/>
      <c r="W48" s="130"/>
      <c r="X48" s="130"/>
    </row>
    <row r="49" spans="1:24" ht="12.75">
      <c r="A49" s="131"/>
      <c r="B49" s="131"/>
      <c r="C49" s="131"/>
      <c r="D49" s="131"/>
      <c r="E49" s="131"/>
      <c r="T49" s="130"/>
      <c r="U49" s="130"/>
      <c r="V49" s="130"/>
      <c r="W49" s="130"/>
      <c r="X49" s="130"/>
    </row>
    <row r="50" spans="1:24" ht="12.75">
      <c r="A50" s="131"/>
      <c r="B50" s="131"/>
      <c r="C50" s="131"/>
      <c r="D50" s="131"/>
      <c r="E50" s="131"/>
      <c r="T50" s="130"/>
      <c r="U50" s="130"/>
      <c r="V50" s="130"/>
      <c r="W50" s="130"/>
      <c r="X50" s="130"/>
    </row>
    <row r="51" spans="1:24" ht="12.75">
      <c r="A51" s="131"/>
      <c r="B51" s="131"/>
      <c r="C51" s="131"/>
      <c r="D51" s="131"/>
      <c r="E51" s="131"/>
      <c r="T51" s="130"/>
      <c r="U51" s="130"/>
      <c r="V51" s="130"/>
      <c r="W51" s="130"/>
      <c r="X51" s="130"/>
    </row>
    <row r="52" spans="1:24" ht="12.75">
      <c r="A52" s="131"/>
      <c r="B52" s="131"/>
      <c r="C52" s="131"/>
      <c r="D52" s="131"/>
      <c r="E52" s="131"/>
      <c r="T52" s="130"/>
      <c r="U52" s="130"/>
      <c r="V52" s="130"/>
      <c r="W52" s="130"/>
      <c r="X52" s="130"/>
    </row>
    <row r="53" spans="1:24" ht="12.75">
      <c r="A53" s="131"/>
      <c r="B53" s="131"/>
      <c r="C53" s="131"/>
      <c r="D53" s="131"/>
      <c r="E53" s="131"/>
      <c r="T53" s="130"/>
      <c r="U53" s="130"/>
      <c r="V53" s="130"/>
      <c r="W53" s="130"/>
      <c r="X53" s="130"/>
    </row>
    <row r="54" spans="1:24" ht="12.75">
      <c r="A54" s="131"/>
      <c r="B54" s="131"/>
      <c r="C54" s="131"/>
      <c r="D54" s="131"/>
      <c r="E54" s="131"/>
      <c r="T54" s="130"/>
      <c r="U54" s="130"/>
      <c r="V54" s="130"/>
      <c r="W54" s="130"/>
      <c r="X54" s="130"/>
    </row>
    <row r="55" spans="1:24" ht="12.75">
      <c r="A55" s="131"/>
      <c r="B55" s="131"/>
      <c r="C55" s="131"/>
      <c r="D55" s="131"/>
      <c r="E55" s="131"/>
      <c r="T55" s="130"/>
      <c r="U55" s="130"/>
      <c r="V55" s="130"/>
      <c r="W55" s="130"/>
      <c r="X55" s="130"/>
    </row>
    <row r="56" spans="1:24" ht="12.75">
      <c r="A56" s="131"/>
      <c r="B56" s="131"/>
      <c r="C56" s="131"/>
      <c r="D56" s="131"/>
      <c r="E56" s="131"/>
      <c r="T56" s="130"/>
      <c r="U56" s="130"/>
      <c r="V56" s="130"/>
      <c r="W56" s="130"/>
      <c r="X56" s="130"/>
    </row>
    <row r="57" spans="1:24" ht="12.75">
      <c r="A57" s="131"/>
      <c r="B57" s="131"/>
      <c r="C57" s="131"/>
      <c r="D57" s="131"/>
      <c r="E57" s="131"/>
      <c r="T57" s="130"/>
      <c r="U57" s="130"/>
      <c r="V57" s="130"/>
      <c r="W57" s="130"/>
      <c r="X57" s="130"/>
    </row>
    <row r="58" spans="1:24" ht="12.75">
      <c r="A58" s="131"/>
      <c r="B58" s="131"/>
      <c r="C58" s="131"/>
      <c r="D58" s="131"/>
      <c r="E58" s="131"/>
      <c r="T58" s="130"/>
      <c r="U58" s="130"/>
      <c r="V58" s="130"/>
      <c r="W58" s="130"/>
      <c r="X58" s="130"/>
    </row>
    <row r="59" spans="1:24" ht="12.75">
      <c r="A59" s="131"/>
      <c r="B59" s="131"/>
      <c r="C59" s="131"/>
      <c r="D59" s="131"/>
      <c r="E59" s="131"/>
      <c r="T59" s="130"/>
      <c r="U59" s="130"/>
      <c r="V59" s="130"/>
      <c r="W59" s="130"/>
      <c r="X59" s="130"/>
    </row>
    <row r="60" spans="1:24" ht="12.75">
      <c r="A60" s="131"/>
      <c r="B60" s="131"/>
      <c r="C60" s="131"/>
      <c r="D60" s="131"/>
      <c r="E60" s="131"/>
      <c r="T60" s="130"/>
      <c r="U60" s="130"/>
      <c r="V60" s="130"/>
      <c r="W60" s="130"/>
      <c r="X60" s="130"/>
    </row>
    <row r="61" spans="1:24" ht="12.75">
      <c r="A61" s="131"/>
      <c r="B61" s="131"/>
      <c r="C61" s="131"/>
      <c r="D61" s="131"/>
      <c r="E61" s="131"/>
      <c r="T61" s="130"/>
      <c r="U61" s="130"/>
      <c r="V61" s="130"/>
      <c r="W61" s="130"/>
      <c r="X61" s="130"/>
    </row>
    <row r="62" spans="1:24" ht="12.75">
      <c r="A62" s="130"/>
      <c r="B62" s="130"/>
      <c r="C62" s="130"/>
      <c r="D62" s="130"/>
      <c r="E62" s="130"/>
      <c r="T62" s="130"/>
      <c r="U62" s="130"/>
      <c r="V62" s="130"/>
      <c r="W62" s="130"/>
      <c r="X62" s="130"/>
    </row>
    <row r="63" spans="1:24" ht="12.75">
      <c r="A63" s="130"/>
      <c r="B63" s="130"/>
      <c r="C63" s="130"/>
      <c r="D63" s="130"/>
      <c r="E63" s="130"/>
      <c r="T63" s="130"/>
      <c r="U63" s="130"/>
      <c r="V63" s="130"/>
      <c r="W63" s="130"/>
      <c r="X63" s="130"/>
    </row>
    <row r="64" spans="1:24" ht="12.75">
      <c r="A64" s="130"/>
      <c r="B64" s="130"/>
      <c r="C64" s="130"/>
      <c r="D64" s="130"/>
      <c r="E64" s="130"/>
      <c r="T64" s="130"/>
      <c r="U64" s="130"/>
      <c r="V64" s="130"/>
      <c r="W64" s="130"/>
      <c r="X64" s="130"/>
    </row>
    <row r="65" spans="1:24" ht="12.75">
      <c r="A65" s="130"/>
      <c r="B65" s="130"/>
      <c r="C65" s="130"/>
      <c r="D65" s="130"/>
      <c r="E65" s="130"/>
      <c r="T65" s="130"/>
      <c r="U65" s="130"/>
      <c r="V65" s="130"/>
      <c r="W65" s="130"/>
      <c r="X65" s="130"/>
    </row>
    <row r="66" spans="1:24" ht="12.75">
      <c r="A66" s="130"/>
      <c r="B66" s="130"/>
      <c r="C66" s="130"/>
      <c r="D66" s="130"/>
      <c r="E66" s="130"/>
      <c r="T66" s="130"/>
      <c r="U66" s="130"/>
      <c r="V66" s="130"/>
      <c r="W66" s="130"/>
      <c r="X66" s="130"/>
    </row>
    <row r="67" spans="1:24" ht="12.75">
      <c r="A67" s="130"/>
      <c r="B67" s="130"/>
      <c r="C67" s="130"/>
      <c r="D67" s="130"/>
      <c r="E67" s="130"/>
      <c r="T67" s="130"/>
      <c r="U67" s="130"/>
      <c r="V67" s="130"/>
      <c r="W67" s="130"/>
      <c r="X67" s="130"/>
    </row>
    <row r="68" spans="1:24" ht="12.75">
      <c r="A68" s="130"/>
      <c r="B68" s="130"/>
      <c r="C68" s="130"/>
      <c r="D68" s="130"/>
      <c r="E68" s="130"/>
      <c r="T68" s="130"/>
      <c r="U68" s="130"/>
      <c r="V68" s="130"/>
      <c r="W68" s="130"/>
      <c r="X68" s="130"/>
    </row>
    <row r="69" spans="1:24" ht="12.75">
      <c r="A69" s="130"/>
      <c r="B69" s="130"/>
      <c r="C69" s="130"/>
      <c r="D69" s="130"/>
      <c r="E69" s="130"/>
      <c r="T69" s="130"/>
      <c r="U69" s="130"/>
      <c r="V69" s="130"/>
      <c r="W69" s="130"/>
      <c r="X69" s="130"/>
    </row>
    <row r="70" spans="1:24" ht="12.75">
      <c r="A70" s="130"/>
      <c r="B70" s="130"/>
      <c r="C70" s="130"/>
      <c r="D70" s="130"/>
      <c r="E70" s="130"/>
      <c r="T70" s="130"/>
      <c r="U70" s="130"/>
      <c r="V70" s="130"/>
      <c r="W70" s="130"/>
      <c r="X70" s="130"/>
    </row>
    <row r="71" spans="1:24" ht="12.75">
      <c r="A71" s="130"/>
      <c r="B71" s="130"/>
      <c r="C71" s="130"/>
      <c r="D71" s="130"/>
      <c r="E71" s="130"/>
      <c r="T71" s="130"/>
      <c r="U71" s="130"/>
      <c r="V71" s="130"/>
      <c r="W71" s="130"/>
      <c r="X71" s="130"/>
    </row>
    <row r="72" spans="1:24" ht="12.75">
      <c r="A72" s="130"/>
      <c r="B72" s="130"/>
      <c r="C72" s="130"/>
      <c r="D72" s="130"/>
      <c r="E72" s="130"/>
      <c r="T72" s="130"/>
      <c r="U72" s="130"/>
      <c r="V72" s="130"/>
      <c r="W72" s="130"/>
      <c r="X72" s="130"/>
    </row>
    <row r="73" spans="1:24" ht="12.75">
      <c r="A73" s="130"/>
      <c r="B73" s="130"/>
      <c r="C73" s="130"/>
      <c r="D73" s="130"/>
      <c r="E73" s="130"/>
      <c r="T73" s="130"/>
      <c r="U73" s="130"/>
      <c r="V73" s="130"/>
      <c r="W73" s="130"/>
      <c r="X73" s="130"/>
    </row>
    <row r="74" spans="1:24" ht="12.75">
      <c r="A74" s="130"/>
      <c r="B74" s="130"/>
      <c r="C74" s="130"/>
      <c r="D74" s="130"/>
      <c r="E74" s="130"/>
      <c r="T74" s="130"/>
      <c r="U74" s="130"/>
      <c r="V74" s="130"/>
      <c r="W74" s="130"/>
      <c r="X74" s="130"/>
    </row>
    <row r="75" spans="1:24" ht="12.75">
      <c r="A75" s="130"/>
      <c r="B75" s="130"/>
      <c r="C75" s="130"/>
      <c r="D75" s="130"/>
      <c r="E75" s="130"/>
      <c r="T75" s="130"/>
      <c r="U75" s="130"/>
      <c r="V75" s="130"/>
      <c r="W75" s="130"/>
      <c r="X75" s="130"/>
    </row>
    <row r="76" spans="1:24" ht="12.75">
      <c r="A76" s="130"/>
      <c r="B76" s="130"/>
      <c r="C76" s="130"/>
      <c r="D76" s="130"/>
      <c r="E76" s="130"/>
      <c r="T76" s="130"/>
      <c r="U76" s="130"/>
      <c r="V76" s="130"/>
      <c r="W76" s="130"/>
      <c r="X76" s="130"/>
    </row>
    <row r="77" spans="1:24" ht="12.75">
      <c r="A77" s="130"/>
      <c r="B77" s="130"/>
      <c r="C77" s="130"/>
      <c r="D77" s="130"/>
      <c r="E77" s="130"/>
      <c r="T77" s="130"/>
      <c r="U77" s="130"/>
      <c r="V77" s="130"/>
      <c r="W77" s="130"/>
      <c r="X77" s="130"/>
    </row>
    <row r="78" spans="1:24" ht="12.75">
      <c r="A78" s="130"/>
      <c r="B78" s="130"/>
      <c r="C78" s="130"/>
      <c r="D78" s="130"/>
      <c r="E78" s="130"/>
      <c r="T78" s="130"/>
      <c r="U78" s="130"/>
      <c r="V78" s="130"/>
      <c r="W78" s="130"/>
      <c r="X78" s="130"/>
    </row>
    <row r="79" spans="1:24" ht="12.75">
      <c r="A79" s="130"/>
      <c r="B79" s="130"/>
      <c r="C79" s="130"/>
      <c r="D79" s="130"/>
      <c r="E79" s="130"/>
      <c r="T79" s="130"/>
      <c r="U79" s="130"/>
      <c r="V79" s="130"/>
      <c r="W79" s="130"/>
      <c r="X79" s="130"/>
    </row>
    <row r="80" spans="1:24" ht="12.75">
      <c r="A80" s="130"/>
      <c r="B80" s="130"/>
      <c r="C80" s="130"/>
      <c r="D80" s="130"/>
      <c r="E80" s="130"/>
      <c r="T80" s="130"/>
      <c r="U80" s="130"/>
      <c r="V80" s="130"/>
      <c r="W80" s="130"/>
      <c r="X80" s="130"/>
    </row>
    <row r="81" spans="1:24" ht="12.75">
      <c r="A81" s="130"/>
      <c r="B81" s="130"/>
      <c r="C81" s="130"/>
      <c r="D81" s="130"/>
      <c r="E81" s="130"/>
      <c r="T81" s="130"/>
      <c r="U81" s="130"/>
      <c r="V81" s="130"/>
      <c r="W81" s="130"/>
      <c r="X81" s="130"/>
    </row>
    <row r="82" spans="1:24" ht="12.75">
      <c r="A82" s="130"/>
      <c r="B82" s="130"/>
      <c r="C82" s="130"/>
      <c r="D82" s="130"/>
      <c r="E82" s="130"/>
      <c r="T82" s="110"/>
      <c r="U82" s="110"/>
      <c r="V82" s="110"/>
      <c r="W82" s="110"/>
      <c r="X82" s="110"/>
    </row>
    <row r="83" spans="1:24" ht="12.75">
      <c r="A83" s="130"/>
      <c r="B83" s="130"/>
      <c r="C83" s="130"/>
      <c r="D83" s="130"/>
      <c r="E83" s="130"/>
      <c r="T83" s="110"/>
      <c r="U83" s="110"/>
      <c r="V83" s="110"/>
      <c r="W83" s="110"/>
      <c r="X83" s="110"/>
    </row>
    <row r="84" spans="1:24" ht="12.75">
      <c r="A84" s="130"/>
      <c r="B84" s="130"/>
      <c r="C84" s="130"/>
      <c r="D84" s="130"/>
      <c r="E84" s="130"/>
      <c r="T84" s="130"/>
      <c r="U84" s="130"/>
      <c r="V84" s="130"/>
      <c r="W84" s="130"/>
      <c r="X84" s="130"/>
    </row>
    <row r="85" spans="1:24" ht="12.75">
      <c r="A85" s="130"/>
      <c r="B85" s="130"/>
      <c r="C85" s="130"/>
      <c r="D85" s="130"/>
      <c r="E85" s="130"/>
      <c r="T85" s="130"/>
      <c r="U85" s="130"/>
      <c r="V85" s="130"/>
      <c r="W85" s="130"/>
      <c r="X85" s="130"/>
    </row>
    <row r="86" spans="1:24" ht="12.75">
      <c r="A86" s="130"/>
      <c r="B86" s="130"/>
      <c r="C86" s="130"/>
      <c r="D86" s="130"/>
      <c r="E86" s="130"/>
      <c r="T86" s="130"/>
      <c r="U86" s="130"/>
      <c r="V86" s="130"/>
      <c r="W86" s="130"/>
      <c r="X86" s="130"/>
    </row>
    <row r="87" spans="1:24" ht="12.75">
      <c r="A87" s="130"/>
      <c r="B87" s="130"/>
      <c r="C87" s="130"/>
      <c r="D87" s="130"/>
      <c r="E87" s="130"/>
      <c r="T87" s="130"/>
      <c r="U87" s="130"/>
      <c r="V87" s="130"/>
      <c r="W87" s="130"/>
      <c r="X87" s="130"/>
    </row>
    <row r="88" spans="1:24" ht="12.75">
      <c r="A88" s="130"/>
      <c r="B88" s="130"/>
      <c r="C88" s="130"/>
      <c r="D88" s="130"/>
      <c r="E88" s="130"/>
      <c r="T88" s="130"/>
      <c r="U88" s="130"/>
      <c r="V88" s="130"/>
      <c r="W88" s="130"/>
      <c r="X88" s="130"/>
    </row>
    <row r="89" spans="1:24" ht="12.75">
      <c r="A89" s="130"/>
      <c r="B89" s="130"/>
      <c r="C89" s="130"/>
      <c r="D89" s="130"/>
      <c r="E89" s="130"/>
      <c r="T89" s="130"/>
      <c r="U89" s="130"/>
      <c r="V89" s="130"/>
      <c r="W89" s="130"/>
      <c r="X89" s="130"/>
    </row>
    <row r="90" spans="1:24" ht="12.75">
      <c r="A90" s="130"/>
      <c r="B90" s="130"/>
      <c r="C90" s="130"/>
      <c r="D90" s="130"/>
      <c r="E90" s="130"/>
      <c r="T90" s="130"/>
      <c r="U90" s="130"/>
      <c r="V90" s="130"/>
      <c r="W90" s="130"/>
      <c r="X90" s="130"/>
    </row>
    <row r="91" spans="1:24" ht="12.75">
      <c r="A91" s="130"/>
      <c r="B91" s="130"/>
      <c r="C91" s="130"/>
      <c r="D91" s="130"/>
      <c r="E91" s="130"/>
      <c r="T91" s="130"/>
      <c r="U91" s="130"/>
      <c r="V91" s="130"/>
      <c r="W91" s="130"/>
      <c r="X91" s="130"/>
    </row>
    <row r="92" spans="1:24" ht="12.75">
      <c r="A92" s="130"/>
      <c r="B92" s="130"/>
      <c r="C92" s="130"/>
      <c r="D92" s="130"/>
      <c r="E92" s="130"/>
      <c r="T92" s="130"/>
      <c r="U92" s="130"/>
      <c r="V92" s="130"/>
      <c r="W92" s="130"/>
      <c r="X92" s="130"/>
    </row>
    <row r="93" spans="1:24" ht="12.75">
      <c r="A93" s="130"/>
      <c r="B93" s="130"/>
      <c r="C93" s="130"/>
      <c r="D93" s="130"/>
      <c r="E93" s="130"/>
      <c r="T93" s="130"/>
      <c r="U93" s="130"/>
      <c r="V93" s="130"/>
      <c r="W93" s="130"/>
      <c r="X93" s="130"/>
    </row>
    <row r="94" spans="1:24" ht="12.75">
      <c r="A94" s="130"/>
      <c r="B94" s="130"/>
      <c r="C94" s="130"/>
      <c r="D94" s="130"/>
      <c r="E94" s="130"/>
      <c r="T94" s="130"/>
      <c r="U94" s="130"/>
      <c r="V94" s="130"/>
      <c r="W94" s="130"/>
      <c r="X94" s="130"/>
    </row>
    <row r="95" spans="1:24" ht="12.75">
      <c r="A95" s="130"/>
      <c r="B95" s="130"/>
      <c r="C95" s="130"/>
      <c r="D95" s="130"/>
      <c r="E95" s="130"/>
      <c r="T95" s="130"/>
      <c r="U95" s="130"/>
      <c r="V95" s="130"/>
      <c r="W95" s="130"/>
      <c r="X95" s="130"/>
    </row>
    <row r="96" spans="1:24" ht="12.75">
      <c r="A96" s="130"/>
      <c r="B96" s="130"/>
      <c r="C96" s="130"/>
      <c r="D96" s="130"/>
      <c r="E96" s="130"/>
      <c r="T96" s="130"/>
      <c r="U96" s="130"/>
      <c r="V96" s="130"/>
      <c r="W96" s="130"/>
      <c r="X96" s="130"/>
    </row>
    <row r="97" spans="1:24" ht="12.75">
      <c r="A97" s="130"/>
      <c r="B97" s="130"/>
      <c r="C97" s="130"/>
      <c r="D97" s="130"/>
      <c r="E97" s="130"/>
      <c r="T97" s="130"/>
      <c r="U97" s="130"/>
      <c r="V97" s="130"/>
      <c r="W97" s="130"/>
      <c r="X97" s="130"/>
    </row>
    <row r="98" spans="1:24" ht="12.75">
      <c r="A98" s="130"/>
      <c r="B98" s="130"/>
      <c r="C98" s="130"/>
      <c r="D98" s="130"/>
      <c r="E98" s="130"/>
      <c r="T98" s="130"/>
      <c r="U98" s="130"/>
      <c r="V98" s="130"/>
      <c r="W98" s="130"/>
      <c r="X98" s="130"/>
    </row>
    <row r="99" spans="1:24" ht="12.75">
      <c r="A99" s="130"/>
      <c r="B99" s="130"/>
      <c r="C99" s="130"/>
      <c r="D99" s="130"/>
      <c r="E99" s="130"/>
      <c r="T99" s="130"/>
      <c r="U99" s="130"/>
      <c r="V99" s="130"/>
      <c r="W99" s="130"/>
      <c r="X99" s="130"/>
    </row>
    <row r="100" spans="1:24" ht="12.75">
      <c r="A100" s="130"/>
      <c r="B100" s="130"/>
      <c r="C100" s="130"/>
      <c r="D100" s="130"/>
      <c r="E100" s="130"/>
      <c r="T100" s="130"/>
      <c r="U100" s="130"/>
      <c r="V100" s="130"/>
      <c r="W100" s="130"/>
      <c r="X100" s="130"/>
    </row>
    <row r="101" spans="1:24" ht="12.75">
      <c r="A101" s="130"/>
      <c r="B101" s="130"/>
      <c r="C101" s="130"/>
      <c r="D101" s="130"/>
      <c r="E101" s="130"/>
      <c r="T101" s="130"/>
      <c r="U101" s="130"/>
      <c r="V101" s="130"/>
      <c r="W101" s="130"/>
      <c r="X101" s="130"/>
    </row>
    <row r="102" spans="1:24" ht="12.75">
      <c r="A102" s="130"/>
      <c r="B102" s="130"/>
      <c r="C102" s="130"/>
      <c r="D102" s="130"/>
      <c r="E102" s="130"/>
      <c r="T102" s="130"/>
      <c r="U102" s="130"/>
      <c r="V102" s="130"/>
      <c r="W102" s="130"/>
      <c r="X102" s="130"/>
    </row>
    <row r="103" spans="1:24" ht="12.75">
      <c r="A103" s="130"/>
      <c r="B103" s="130"/>
      <c r="C103" s="130"/>
      <c r="D103" s="130"/>
      <c r="E103" s="130"/>
      <c r="T103" s="130"/>
      <c r="U103" s="130"/>
      <c r="V103" s="130"/>
      <c r="W103" s="130"/>
      <c r="X103" s="130"/>
    </row>
    <row r="104" spans="1:24" ht="12.75">
      <c r="A104" s="130"/>
      <c r="B104" s="130"/>
      <c r="C104" s="130"/>
      <c r="D104" s="130"/>
      <c r="E104" s="130"/>
      <c r="T104" s="130"/>
      <c r="U104" s="130"/>
      <c r="V104" s="130"/>
      <c r="W104" s="130"/>
      <c r="X104" s="130"/>
    </row>
    <row r="105" spans="1:24" ht="12.75">
      <c r="A105" s="130"/>
      <c r="B105" s="130"/>
      <c r="C105" s="130"/>
      <c r="D105" s="130"/>
      <c r="E105" s="130"/>
      <c r="T105" s="130"/>
      <c r="U105" s="130"/>
      <c r="V105" s="130"/>
      <c r="W105" s="130"/>
      <c r="X105" s="130"/>
    </row>
    <row r="106" spans="1:5" ht="12.75">
      <c r="A106" s="130"/>
      <c r="B106" s="130"/>
      <c r="C106" s="130"/>
      <c r="D106" s="130"/>
      <c r="E106" s="130"/>
    </row>
    <row r="107" spans="1:5" ht="12.75">
      <c r="A107" s="130"/>
      <c r="B107" s="130"/>
      <c r="C107" s="130"/>
      <c r="D107" s="130"/>
      <c r="E107" s="130"/>
    </row>
    <row r="108" spans="1:5" ht="12.75">
      <c r="A108" s="130"/>
      <c r="B108" s="130"/>
      <c r="C108" s="130"/>
      <c r="D108" s="130"/>
      <c r="E108" s="130"/>
    </row>
    <row r="109" spans="1:5" ht="12.75">
      <c r="A109" s="130"/>
      <c r="B109" s="130"/>
      <c r="C109" s="130"/>
      <c r="D109" s="130"/>
      <c r="E109" s="130"/>
    </row>
    <row r="110" spans="1:5" ht="12.75">
      <c r="A110" s="130"/>
      <c r="B110" s="130"/>
      <c r="C110" s="130"/>
      <c r="D110" s="130"/>
      <c r="E110" s="130"/>
    </row>
    <row r="111" spans="1:5" ht="12.75">
      <c r="A111" s="130"/>
      <c r="B111" s="130"/>
      <c r="C111" s="130"/>
      <c r="D111" s="130"/>
      <c r="E111" s="130"/>
    </row>
    <row r="112" spans="1:5" ht="12.75">
      <c r="A112" s="130"/>
      <c r="B112" s="130"/>
      <c r="C112" s="130"/>
      <c r="D112" s="130"/>
      <c r="E112" s="130"/>
    </row>
    <row r="113" spans="1:5" ht="12.75">
      <c r="A113" s="130"/>
      <c r="B113" s="130"/>
      <c r="C113" s="130"/>
      <c r="D113" s="130"/>
      <c r="E113" s="130"/>
    </row>
    <row r="114" spans="1:5" ht="12.75">
      <c r="A114" s="130"/>
      <c r="B114" s="130"/>
      <c r="C114" s="130"/>
      <c r="D114" s="130"/>
      <c r="E114" s="130"/>
    </row>
    <row r="115" spans="1:5" ht="12.75">
      <c r="A115" s="130"/>
      <c r="B115" s="130"/>
      <c r="C115" s="130"/>
      <c r="D115" s="130"/>
      <c r="E115" s="130"/>
    </row>
    <row r="116" spans="1:5" ht="12.75">
      <c r="A116" s="110"/>
      <c r="B116" s="110"/>
      <c r="C116" s="110"/>
      <c r="D116" s="110"/>
      <c r="E116" s="110"/>
    </row>
    <row r="117" spans="1:5" ht="12.75">
      <c r="A117" s="110"/>
      <c r="B117" s="110"/>
      <c r="C117" s="110"/>
      <c r="D117" s="110"/>
      <c r="E117" s="110"/>
    </row>
    <row r="118" spans="1:5" ht="12.75">
      <c r="A118" s="110"/>
      <c r="B118" s="110"/>
      <c r="C118" s="110"/>
      <c r="D118" s="110"/>
      <c r="E118" s="110"/>
    </row>
    <row r="119" spans="1:5" ht="12.75">
      <c r="A119" s="110"/>
      <c r="B119" s="110"/>
      <c r="C119" s="110"/>
      <c r="D119" s="110"/>
      <c r="E119" s="110"/>
    </row>
    <row r="120" spans="1:5" ht="12.75">
      <c r="A120" s="110"/>
      <c r="B120" s="110"/>
      <c r="C120" s="110"/>
      <c r="D120" s="110"/>
      <c r="E120" s="110"/>
    </row>
    <row r="121" spans="1:5" ht="12.75">
      <c r="A121" s="110"/>
      <c r="B121" s="110"/>
      <c r="C121" s="110"/>
      <c r="D121" s="110"/>
      <c r="E121" s="110"/>
    </row>
    <row r="122" spans="1:5" ht="12.75">
      <c r="A122" s="110"/>
      <c r="B122" s="110"/>
      <c r="C122" s="110"/>
      <c r="D122" s="110"/>
      <c r="E122" s="110"/>
    </row>
    <row r="123" spans="1:5" ht="12.75">
      <c r="A123" s="110"/>
      <c r="B123" s="110"/>
      <c r="C123" s="110"/>
      <c r="D123" s="110"/>
      <c r="E123" s="110"/>
    </row>
    <row r="124" spans="1:5" ht="12.75">
      <c r="A124" s="110"/>
      <c r="B124" s="110"/>
      <c r="C124" s="110"/>
      <c r="D124" s="110"/>
      <c r="E124" s="110"/>
    </row>
    <row r="125" spans="1:5" ht="12.75">
      <c r="A125" s="110"/>
      <c r="B125" s="110"/>
      <c r="C125" s="110"/>
      <c r="D125" s="110"/>
      <c r="E125" s="110"/>
    </row>
    <row r="126" spans="1:5" ht="12.75">
      <c r="A126" s="110"/>
      <c r="B126" s="110"/>
      <c r="C126" s="110"/>
      <c r="D126" s="110"/>
      <c r="E126" s="110"/>
    </row>
    <row r="127" spans="1:5" ht="12.75">
      <c r="A127" s="110"/>
      <c r="B127" s="110"/>
      <c r="C127" s="110"/>
      <c r="D127" s="110"/>
      <c r="E127" s="110"/>
    </row>
    <row r="128" spans="1:5" ht="12.75">
      <c r="A128" s="110"/>
      <c r="B128" s="110"/>
      <c r="C128" s="110"/>
      <c r="D128" s="110"/>
      <c r="E128" s="110"/>
    </row>
    <row r="129" spans="1:5" ht="12.75">
      <c r="A129" s="110"/>
      <c r="B129" s="110"/>
      <c r="C129" s="110"/>
      <c r="D129" s="110"/>
      <c r="E129" s="110"/>
    </row>
    <row r="130" spans="1:5" ht="12.75">
      <c r="A130" s="110"/>
      <c r="B130" s="110"/>
      <c r="C130" s="110"/>
      <c r="D130" s="110"/>
      <c r="E130" s="110"/>
    </row>
    <row r="131" spans="1:5" ht="12.75">
      <c r="A131" s="110"/>
      <c r="B131" s="110"/>
      <c r="C131" s="110"/>
      <c r="D131" s="110"/>
      <c r="E131" s="110"/>
    </row>
    <row r="132" spans="1:5" ht="12.75">
      <c r="A132" s="110"/>
      <c r="B132" s="110"/>
      <c r="C132" s="110"/>
      <c r="D132" s="110"/>
      <c r="E132" s="110"/>
    </row>
    <row r="133" spans="1:5" ht="12.75">
      <c r="A133" s="110"/>
      <c r="B133" s="110"/>
      <c r="C133" s="110"/>
      <c r="D133" s="110"/>
      <c r="E133" s="110"/>
    </row>
    <row r="134" spans="1:5" ht="12.75">
      <c r="A134" s="110"/>
      <c r="B134" s="110"/>
      <c r="C134" s="110"/>
      <c r="D134" s="110"/>
      <c r="E134" s="110"/>
    </row>
    <row r="135" spans="1:5" ht="12.75">
      <c r="A135" s="110"/>
      <c r="B135" s="110"/>
      <c r="C135" s="110"/>
      <c r="D135" s="110"/>
      <c r="E135" s="110"/>
    </row>
    <row r="136" spans="1:5" ht="12.75">
      <c r="A136" s="110"/>
      <c r="B136" s="110"/>
      <c r="C136" s="110"/>
      <c r="D136" s="110"/>
      <c r="E136" s="110"/>
    </row>
    <row r="137" spans="1:5" ht="12.75">
      <c r="A137" s="110"/>
      <c r="B137" s="110"/>
      <c r="C137" s="110"/>
      <c r="D137" s="110"/>
      <c r="E137" s="110"/>
    </row>
    <row r="138" spans="1:5" ht="12.75">
      <c r="A138" s="110"/>
      <c r="B138" s="110"/>
      <c r="C138" s="110"/>
      <c r="D138" s="110"/>
      <c r="E138" s="110"/>
    </row>
    <row r="139" spans="1:5" ht="12.75">
      <c r="A139" s="110"/>
      <c r="B139" s="110"/>
      <c r="C139" s="110"/>
      <c r="D139" s="110"/>
      <c r="E139" s="110"/>
    </row>
    <row r="140" spans="1:5" ht="12.75">
      <c r="A140" s="110"/>
      <c r="B140" s="110"/>
      <c r="C140" s="110"/>
      <c r="D140" s="110"/>
      <c r="E140" s="110"/>
    </row>
    <row r="141" spans="1:5" ht="12.75">
      <c r="A141" s="110"/>
      <c r="B141" s="110"/>
      <c r="C141" s="110"/>
      <c r="D141" s="110"/>
      <c r="E141" s="110"/>
    </row>
    <row r="142" spans="1:5" ht="12.75">
      <c r="A142" s="110"/>
      <c r="B142" s="110"/>
      <c r="C142" s="110"/>
      <c r="D142" s="110"/>
      <c r="E142" s="110"/>
    </row>
    <row r="143" spans="1:5" ht="12.75">
      <c r="A143" s="110"/>
      <c r="B143" s="110"/>
      <c r="C143" s="110"/>
      <c r="D143" s="110"/>
      <c r="E143" s="110"/>
    </row>
    <row r="144" spans="1:5" ht="12.75">
      <c r="A144" s="110"/>
      <c r="B144" s="110"/>
      <c r="C144" s="110"/>
      <c r="D144" s="110"/>
      <c r="E144" s="110"/>
    </row>
    <row r="145" spans="1:5" ht="12.75">
      <c r="A145" s="110"/>
      <c r="B145" s="110"/>
      <c r="C145" s="110"/>
      <c r="D145" s="110"/>
      <c r="E145" s="110"/>
    </row>
    <row r="146" spans="1:5" ht="12.75">
      <c r="A146" s="110"/>
      <c r="B146" s="110"/>
      <c r="C146" s="110"/>
      <c r="D146" s="110"/>
      <c r="E146" s="110"/>
    </row>
    <row r="147" spans="1:5" ht="12.75">
      <c r="A147" s="110"/>
      <c r="B147" s="110"/>
      <c r="C147" s="110"/>
      <c r="D147" s="110"/>
      <c r="E147" s="110"/>
    </row>
    <row r="148" spans="1:5" ht="12.75">
      <c r="A148" s="110"/>
      <c r="B148" s="110"/>
      <c r="C148" s="110"/>
      <c r="D148" s="110"/>
      <c r="E148" s="110"/>
    </row>
    <row r="149" spans="1:5" ht="12.75">
      <c r="A149" s="110"/>
      <c r="B149" s="110"/>
      <c r="C149" s="110"/>
      <c r="D149" s="110"/>
      <c r="E149" s="110"/>
    </row>
    <row r="150" spans="1:5" ht="12.75">
      <c r="A150" s="110"/>
      <c r="B150" s="110"/>
      <c r="C150" s="110"/>
      <c r="D150" s="110"/>
      <c r="E150" s="110"/>
    </row>
    <row r="151" spans="1:5" ht="12.75">
      <c r="A151" s="110"/>
      <c r="B151" s="110"/>
      <c r="C151" s="110"/>
      <c r="D151" s="110"/>
      <c r="E151" s="110"/>
    </row>
    <row r="152" spans="1:5" ht="12.75">
      <c r="A152" s="110"/>
      <c r="B152" s="110"/>
      <c r="C152" s="110"/>
      <c r="D152" s="110"/>
      <c r="E152" s="110"/>
    </row>
    <row r="153" spans="1:5" ht="12.75">
      <c r="A153" s="110"/>
      <c r="B153" s="110"/>
      <c r="C153" s="110"/>
      <c r="D153" s="110"/>
      <c r="E153" s="110"/>
    </row>
    <row r="154" spans="1:5" ht="12.75">
      <c r="A154" s="110"/>
      <c r="B154" s="110"/>
      <c r="C154" s="110"/>
      <c r="D154" s="110"/>
      <c r="E154" s="110"/>
    </row>
    <row r="155" spans="1:5" ht="12.75">
      <c r="A155" s="110"/>
      <c r="B155" s="110"/>
      <c r="C155" s="110"/>
      <c r="D155" s="110"/>
      <c r="E155" s="110"/>
    </row>
    <row r="156" spans="1:5" ht="12.75">
      <c r="A156" s="110"/>
      <c r="B156" s="110"/>
      <c r="C156" s="110"/>
      <c r="D156" s="110"/>
      <c r="E156" s="110"/>
    </row>
    <row r="157" spans="1:5" ht="12.75">
      <c r="A157" s="110"/>
      <c r="B157" s="110"/>
      <c r="C157" s="110"/>
      <c r="D157" s="110"/>
      <c r="E157" s="110"/>
    </row>
    <row r="158" spans="1:5" ht="12.75">
      <c r="A158" s="110"/>
      <c r="B158" s="110"/>
      <c r="C158" s="110"/>
      <c r="D158" s="110"/>
      <c r="E158" s="110"/>
    </row>
    <row r="159" spans="1:5" ht="12.75">
      <c r="A159" s="110"/>
      <c r="B159" s="110"/>
      <c r="C159" s="110"/>
      <c r="D159" s="110"/>
      <c r="E159" s="110"/>
    </row>
    <row r="160" spans="1:5" ht="12.75">
      <c r="A160" s="110"/>
      <c r="B160" s="110"/>
      <c r="C160" s="110"/>
      <c r="D160" s="110"/>
      <c r="E160" s="110"/>
    </row>
    <row r="161" spans="1:5" ht="12.75">
      <c r="A161" s="110"/>
      <c r="B161" s="110"/>
      <c r="C161" s="110"/>
      <c r="D161" s="110"/>
      <c r="E161" s="110"/>
    </row>
    <row r="162" spans="1:5" ht="12.75">
      <c r="A162" s="110"/>
      <c r="B162" s="110"/>
      <c r="C162" s="110"/>
      <c r="D162" s="110"/>
      <c r="E162" s="110"/>
    </row>
    <row r="163" spans="1:5" ht="12.75">
      <c r="A163" s="110"/>
      <c r="B163" s="110"/>
      <c r="C163" s="110"/>
      <c r="D163" s="110"/>
      <c r="E163" s="110"/>
    </row>
    <row r="164" spans="1:5" ht="12.75">
      <c r="A164" s="110"/>
      <c r="B164" s="110"/>
      <c r="C164" s="110"/>
      <c r="D164" s="110"/>
      <c r="E164" s="110"/>
    </row>
    <row r="165" spans="1:5" ht="12.75">
      <c r="A165" s="110"/>
      <c r="B165" s="110"/>
      <c r="C165" s="110"/>
      <c r="D165" s="110"/>
      <c r="E165" s="110"/>
    </row>
    <row r="166" spans="1:5" ht="12.75">
      <c r="A166" s="110"/>
      <c r="B166" s="110"/>
      <c r="C166" s="110"/>
      <c r="D166" s="110"/>
      <c r="E166" s="110"/>
    </row>
    <row r="167" spans="1:5" ht="12.75">
      <c r="A167" s="110"/>
      <c r="B167" s="110"/>
      <c r="C167" s="110"/>
      <c r="D167" s="110"/>
      <c r="E167" s="110"/>
    </row>
    <row r="168" spans="1:5" ht="12.75">
      <c r="A168" s="110"/>
      <c r="B168" s="110"/>
      <c r="C168" s="110"/>
      <c r="D168" s="110"/>
      <c r="E168" s="110"/>
    </row>
    <row r="169" spans="1:5" ht="12.75">
      <c r="A169" s="110"/>
      <c r="B169" s="110"/>
      <c r="C169" s="110"/>
      <c r="D169" s="110"/>
      <c r="E169" s="110"/>
    </row>
    <row r="170" spans="1:5" ht="12.75">
      <c r="A170" s="110"/>
      <c r="B170" s="110"/>
      <c r="C170" s="110"/>
      <c r="D170" s="110"/>
      <c r="E170" s="110"/>
    </row>
    <row r="171" spans="1:5" ht="12.75">
      <c r="A171" s="110"/>
      <c r="B171" s="110"/>
      <c r="C171" s="110"/>
      <c r="D171" s="110"/>
      <c r="E171" s="110"/>
    </row>
    <row r="177" spans="1:5" ht="12.75">
      <c r="A177" s="138"/>
      <c r="B177" s="138"/>
      <c r="C177" s="138"/>
      <c r="D177" s="138"/>
      <c r="E177" s="138"/>
    </row>
    <row r="178" spans="1:5" ht="12.75">
      <c r="A178" s="138"/>
      <c r="B178" s="138"/>
      <c r="C178" s="138"/>
      <c r="D178" s="138"/>
      <c r="E178" s="138"/>
    </row>
    <row r="179" spans="1:5" ht="12.75">
      <c r="A179" s="139"/>
      <c r="B179" s="139"/>
      <c r="C179" s="139"/>
      <c r="D179" s="139"/>
      <c r="E179" s="139"/>
    </row>
    <row r="180" spans="1:5" ht="12.75">
      <c r="A180" s="151"/>
      <c r="B180" s="151"/>
      <c r="C180" s="151"/>
      <c r="D180" s="151"/>
      <c r="E180" s="151"/>
    </row>
    <row r="181" spans="1:5" ht="12.75">
      <c r="A181" s="138"/>
      <c r="B181" s="138"/>
      <c r="C181" s="138"/>
      <c r="D181" s="138"/>
      <c r="E181" s="138"/>
    </row>
    <row r="182" spans="1:5" ht="12.75">
      <c r="A182" s="139"/>
      <c r="B182" s="139"/>
      <c r="C182" s="139"/>
      <c r="D182" s="139"/>
      <c r="E182" s="139"/>
    </row>
    <row r="183" spans="1:5" ht="12.75">
      <c r="A183" s="151"/>
      <c r="B183" s="151"/>
      <c r="C183" s="151"/>
      <c r="D183" s="151"/>
      <c r="E183" s="151"/>
    </row>
    <row r="184" spans="1:5" ht="12.75">
      <c r="A184" s="138"/>
      <c r="B184" s="138"/>
      <c r="C184" s="138"/>
      <c r="D184" s="138"/>
      <c r="E184" s="138"/>
    </row>
    <row r="185" spans="1:5" ht="12.75">
      <c r="A185" s="139"/>
      <c r="B185" s="139"/>
      <c r="C185" s="139"/>
      <c r="D185" s="139"/>
      <c r="E185" s="139"/>
    </row>
    <row r="186" spans="1:5" ht="12.75">
      <c r="A186" s="152"/>
      <c r="B186" s="138"/>
      <c r="C186" s="138"/>
      <c r="D186" s="138"/>
      <c r="E186" s="138"/>
    </row>
    <row r="187" spans="1:5" ht="12.75">
      <c r="A187" s="138"/>
      <c r="B187" s="138"/>
      <c r="C187" s="138"/>
      <c r="D187" s="138"/>
      <c r="E187" s="138"/>
    </row>
    <row r="188" spans="1:5" ht="12.75">
      <c r="A188" s="139"/>
      <c r="B188" s="139"/>
      <c r="C188" s="139"/>
      <c r="D188" s="139"/>
      <c r="E188" s="139"/>
    </row>
    <row r="189" spans="1:5" ht="12.75">
      <c r="A189" s="138"/>
      <c r="B189" s="138"/>
      <c r="C189" s="138"/>
      <c r="D189" s="138"/>
      <c r="E189" s="138"/>
    </row>
    <row r="190" spans="1:5" ht="12.75">
      <c r="A190" s="138"/>
      <c r="B190" s="138"/>
      <c r="C190" s="138"/>
      <c r="D190" s="138"/>
      <c r="E190" s="138"/>
    </row>
    <row r="191" spans="1:5" ht="12.75">
      <c r="A191" s="139"/>
      <c r="B191" s="139"/>
      <c r="C191" s="139"/>
      <c r="D191" s="139"/>
      <c r="E191" s="139"/>
    </row>
    <row r="192" spans="1:5" ht="12.75">
      <c r="A192" s="138"/>
      <c r="B192" s="138"/>
      <c r="C192" s="138"/>
      <c r="D192" s="138"/>
      <c r="E192" s="138"/>
    </row>
    <row r="193" spans="1:5" ht="12.75">
      <c r="A193" s="138"/>
      <c r="B193" s="138"/>
      <c r="C193" s="138"/>
      <c r="D193" s="138"/>
      <c r="E193" s="138"/>
    </row>
    <row r="194" spans="1:5" ht="12.75">
      <c r="A194" s="139"/>
      <c r="B194" s="139"/>
      <c r="C194" s="139"/>
      <c r="D194" s="139"/>
      <c r="E194" s="139"/>
    </row>
    <row r="195" spans="1:5" ht="12.75">
      <c r="A195" s="138"/>
      <c r="B195" s="138"/>
      <c r="C195" s="138"/>
      <c r="D195" s="138"/>
      <c r="E195" s="138"/>
    </row>
    <row r="196" spans="1:5" ht="12.75">
      <c r="A196" s="138"/>
      <c r="B196" s="138"/>
      <c r="C196" s="138"/>
      <c r="D196" s="138"/>
      <c r="E196" s="138"/>
    </row>
    <row r="197" spans="1:5" ht="12.75">
      <c r="A197" s="139"/>
      <c r="B197" s="139"/>
      <c r="C197" s="139"/>
      <c r="D197" s="139"/>
      <c r="E197" s="139"/>
    </row>
    <row r="198" spans="1:5" ht="12.75">
      <c r="A198" s="138"/>
      <c r="B198" s="138"/>
      <c r="C198" s="138"/>
      <c r="D198" s="138"/>
      <c r="E198" s="138"/>
    </row>
    <row r="199" spans="1:5" ht="12.75">
      <c r="A199" s="138"/>
      <c r="B199" s="138"/>
      <c r="C199" s="138"/>
      <c r="D199" s="138"/>
      <c r="E199" s="138"/>
    </row>
    <row r="200" spans="1:5" ht="12.75">
      <c r="A200" s="139"/>
      <c r="B200" s="139"/>
      <c r="C200" s="139"/>
      <c r="D200" s="139"/>
      <c r="E200" s="139"/>
    </row>
    <row r="201" spans="1:5" ht="12.75">
      <c r="A201" s="138"/>
      <c r="B201" s="138"/>
      <c r="C201" s="138"/>
      <c r="D201" s="138"/>
      <c r="E201" s="138"/>
    </row>
    <row r="202" spans="1:5" ht="12.75">
      <c r="A202" s="138"/>
      <c r="B202" s="138"/>
      <c r="C202" s="138"/>
      <c r="D202" s="138"/>
      <c r="E202" s="138"/>
    </row>
    <row r="203" spans="1:5" ht="12.75">
      <c r="A203" s="139"/>
      <c r="B203" s="139"/>
      <c r="C203" s="139"/>
      <c r="D203" s="139"/>
      <c r="E203" s="139"/>
    </row>
    <row r="204" spans="1:5" ht="12.75">
      <c r="A204" s="138"/>
      <c r="B204" s="138"/>
      <c r="C204" s="138"/>
      <c r="D204" s="138"/>
      <c r="E204" s="138"/>
    </row>
    <row r="205" spans="1:5" ht="12.75">
      <c r="A205" s="138"/>
      <c r="B205" s="138"/>
      <c r="C205" s="138"/>
      <c r="D205" s="138"/>
      <c r="E205" s="138"/>
    </row>
    <row r="206" spans="1:5" ht="12.75">
      <c r="A206" s="139"/>
      <c r="B206" s="139"/>
      <c r="C206" s="139"/>
      <c r="D206" s="139"/>
      <c r="E206" s="139"/>
    </row>
    <row r="207" spans="1:5" ht="12.75">
      <c r="A207" s="138"/>
      <c r="B207" s="138"/>
      <c r="C207" s="138"/>
      <c r="D207" s="138"/>
      <c r="E207" s="138"/>
    </row>
    <row r="208" spans="1:5" ht="12.75">
      <c r="A208" s="138"/>
      <c r="B208" s="138"/>
      <c r="C208" s="138"/>
      <c r="D208" s="138"/>
      <c r="E208" s="138"/>
    </row>
    <row r="209" spans="1:5" ht="12.75">
      <c r="A209" s="139"/>
      <c r="B209" s="139"/>
      <c r="C209" s="139"/>
      <c r="D209" s="139"/>
      <c r="E209" s="139"/>
    </row>
    <row r="210" spans="1:5" ht="12.75">
      <c r="A210" s="138"/>
      <c r="B210" s="138"/>
      <c r="C210" s="138"/>
      <c r="D210" s="138"/>
      <c r="E210" s="138"/>
    </row>
    <row r="211" spans="1:5" ht="12.75">
      <c r="A211" s="138"/>
      <c r="B211" s="138"/>
      <c r="C211" s="138"/>
      <c r="D211" s="138"/>
      <c r="E211" s="138"/>
    </row>
    <row r="212" spans="1:5" ht="12.75">
      <c r="A212" s="139"/>
      <c r="B212" s="139"/>
      <c r="C212" s="139"/>
      <c r="D212" s="139"/>
      <c r="E212" s="139"/>
    </row>
    <row r="213" spans="1:5" ht="12.75">
      <c r="A213" s="138"/>
      <c r="B213" s="138"/>
      <c r="C213" s="138"/>
      <c r="D213" s="138"/>
      <c r="E213" s="138"/>
    </row>
    <row r="214" spans="1:5" ht="12.75">
      <c r="A214" s="138"/>
      <c r="B214" s="138"/>
      <c r="C214" s="138"/>
      <c r="D214" s="138"/>
      <c r="E214" s="138"/>
    </row>
    <row r="215" spans="1:5" ht="12.75">
      <c r="A215" s="139"/>
      <c r="B215" s="139"/>
      <c r="C215" s="139"/>
      <c r="D215" s="139"/>
      <c r="E215" s="139"/>
    </row>
    <row r="216" spans="1:5" ht="12.75">
      <c r="A216" s="138"/>
      <c r="B216" s="138"/>
      <c r="C216" s="138"/>
      <c r="D216" s="138"/>
      <c r="E216" s="138"/>
    </row>
    <row r="217" spans="1:5" ht="12.75">
      <c r="A217" s="138"/>
      <c r="B217" s="138"/>
      <c r="C217" s="138"/>
      <c r="D217" s="138"/>
      <c r="E217" s="138"/>
    </row>
    <row r="218" spans="1:5" ht="12.75">
      <c r="A218" s="139"/>
      <c r="B218" s="139"/>
      <c r="C218" s="139"/>
      <c r="D218" s="139"/>
      <c r="E218" s="139"/>
    </row>
    <row r="219" spans="1:5" ht="12.75">
      <c r="A219" s="138"/>
      <c r="B219" s="138"/>
      <c r="C219" s="138"/>
      <c r="D219" s="138"/>
      <c r="E219" s="138"/>
    </row>
    <row r="220" spans="1:5" ht="12.75">
      <c r="A220" s="138"/>
      <c r="B220" s="138"/>
      <c r="C220" s="138"/>
      <c r="D220" s="138"/>
      <c r="E220" s="138"/>
    </row>
    <row r="221" spans="1:5" ht="12.75">
      <c r="A221" s="139"/>
      <c r="B221" s="139"/>
      <c r="C221" s="139"/>
      <c r="D221" s="139"/>
      <c r="E221" s="139"/>
    </row>
    <row r="222" spans="1:5" ht="12.75">
      <c r="A222" s="138"/>
      <c r="B222" s="138"/>
      <c r="C222" s="138"/>
      <c r="D222" s="138"/>
      <c r="E222" s="138"/>
    </row>
    <row r="223" spans="1:5" ht="12.75">
      <c r="A223" s="138"/>
      <c r="B223" s="138"/>
      <c r="C223" s="138"/>
      <c r="D223" s="138"/>
      <c r="E223" s="138"/>
    </row>
    <row r="224" spans="1:5" ht="12.75">
      <c r="A224" s="139"/>
      <c r="B224" s="139"/>
      <c r="C224" s="139"/>
      <c r="D224" s="139"/>
      <c r="E224" s="139"/>
    </row>
    <row r="225" spans="1:5" ht="12.75">
      <c r="A225" s="138"/>
      <c r="B225" s="138"/>
      <c r="C225" s="138"/>
      <c r="D225" s="138"/>
      <c r="E225" s="138"/>
    </row>
    <row r="226" spans="1:5" ht="12.75">
      <c r="A226" s="138"/>
      <c r="B226" s="138"/>
      <c r="C226" s="138"/>
      <c r="D226" s="138"/>
      <c r="E226" s="138"/>
    </row>
    <row r="227" spans="1:5" ht="12.75">
      <c r="A227" s="139"/>
      <c r="B227" s="139"/>
      <c r="C227" s="139"/>
      <c r="D227" s="139"/>
      <c r="E227" s="139"/>
    </row>
    <row r="228" spans="1:5" ht="12.75">
      <c r="A228" s="138"/>
      <c r="B228" s="138"/>
      <c r="C228" s="138"/>
      <c r="D228" s="138"/>
      <c r="E228" s="138"/>
    </row>
    <row r="229" spans="1:5" ht="12.75">
      <c r="A229" s="138"/>
      <c r="B229" s="138"/>
      <c r="C229" s="138"/>
      <c r="D229" s="138"/>
      <c r="E229" s="138"/>
    </row>
    <row r="230" spans="1:5" ht="12.75">
      <c r="A230" s="139"/>
      <c r="B230" s="139"/>
      <c r="C230" s="139"/>
      <c r="D230" s="139"/>
      <c r="E230" s="139"/>
    </row>
    <row r="231" spans="1:5" ht="12.75">
      <c r="A231" s="138"/>
      <c r="B231" s="138"/>
      <c r="C231" s="138"/>
      <c r="D231" s="138"/>
      <c r="E231" s="138"/>
    </row>
    <row r="232" spans="1:5" ht="12.75">
      <c r="A232" s="138"/>
      <c r="B232" s="138"/>
      <c r="C232" s="138"/>
      <c r="D232" s="138"/>
      <c r="E232" s="138"/>
    </row>
    <row r="233" spans="1:5" ht="12.75">
      <c r="A233" s="139"/>
      <c r="B233" s="139"/>
      <c r="C233" s="139"/>
      <c r="D233" s="139"/>
      <c r="E233" s="139"/>
    </row>
    <row r="234" spans="1:5" ht="12.75">
      <c r="A234" s="138"/>
      <c r="B234" s="138"/>
      <c r="C234" s="138"/>
      <c r="D234" s="138"/>
      <c r="E234" s="138"/>
    </row>
    <row r="235" spans="1:5" ht="12.75">
      <c r="A235" s="138"/>
      <c r="B235" s="138"/>
      <c r="C235" s="138"/>
      <c r="D235" s="138"/>
      <c r="E235" s="138"/>
    </row>
    <row r="236" spans="1:5" ht="12.75">
      <c r="A236" s="139"/>
      <c r="B236" s="139"/>
      <c r="C236" s="139"/>
      <c r="D236" s="139"/>
      <c r="E236" s="139"/>
    </row>
    <row r="237" spans="1:5" ht="12.75">
      <c r="A237" s="138"/>
      <c r="B237" s="138"/>
      <c r="C237" s="138"/>
      <c r="D237" s="138"/>
      <c r="E237" s="138"/>
    </row>
    <row r="238" spans="1:5" ht="12.75">
      <c r="A238" s="138"/>
      <c r="B238" s="138"/>
      <c r="C238" s="138"/>
      <c r="D238" s="138"/>
      <c r="E238" s="138"/>
    </row>
    <row r="239" spans="1:5" ht="12.75">
      <c r="A239" s="139"/>
      <c r="B239" s="139"/>
      <c r="C239" s="139"/>
      <c r="D239" s="139"/>
      <c r="E239" s="139"/>
    </row>
    <row r="240" spans="1:5" ht="12.75">
      <c r="A240" s="138"/>
      <c r="B240" s="138"/>
      <c r="C240" s="138"/>
      <c r="D240" s="138"/>
      <c r="E240" s="138"/>
    </row>
    <row r="241" spans="1:5" ht="12.75">
      <c r="A241" s="138"/>
      <c r="B241" s="138"/>
      <c r="C241" s="138"/>
      <c r="D241" s="138"/>
      <c r="E241" s="138"/>
    </row>
    <row r="242" spans="1:5" ht="12.75">
      <c r="A242" s="139"/>
      <c r="B242" s="139"/>
      <c r="C242" s="139"/>
      <c r="D242" s="139"/>
      <c r="E242" s="139"/>
    </row>
    <row r="243" spans="1:5" ht="12.75">
      <c r="A243" s="138"/>
      <c r="B243" s="138"/>
      <c r="C243" s="138"/>
      <c r="D243" s="138"/>
      <c r="E243" s="138"/>
    </row>
    <row r="244" spans="1:5" ht="12.75">
      <c r="A244" s="138"/>
      <c r="B244" s="138"/>
      <c r="C244" s="138"/>
      <c r="D244" s="138"/>
      <c r="E244" s="138"/>
    </row>
    <row r="245" spans="1:5" ht="12.75">
      <c r="A245" s="139"/>
      <c r="B245" s="139"/>
      <c r="C245" s="139"/>
      <c r="D245" s="139"/>
      <c r="E245" s="139"/>
    </row>
    <row r="246" spans="1:5" ht="12.75">
      <c r="A246" s="138"/>
      <c r="B246" s="138"/>
      <c r="C246" s="138"/>
      <c r="D246" s="138"/>
      <c r="E246" s="138"/>
    </row>
    <row r="247" spans="1:5" ht="12.75">
      <c r="A247" s="138"/>
      <c r="B247" s="138"/>
      <c r="C247" s="138"/>
      <c r="D247" s="138"/>
      <c r="E247" s="138"/>
    </row>
    <row r="248" spans="1:5" ht="12.75">
      <c r="A248" s="139"/>
      <c r="B248" s="139"/>
      <c r="C248" s="139"/>
      <c r="D248" s="139"/>
      <c r="E248" s="139"/>
    </row>
    <row r="249" spans="1:5" ht="12.75">
      <c r="A249" s="138"/>
      <c r="B249" s="138"/>
      <c r="C249" s="138"/>
      <c r="D249" s="138"/>
      <c r="E249" s="138"/>
    </row>
    <row r="250" spans="1:5" ht="12.75">
      <c r="A250" s="138"/>
      <c r="B250" s="138"/>
      <c r="C250" s="138"/>
      <c r="D250" s="138"/>
      <c r="E250" s="138"/>
    </row>
    <row r="251" spans="1:5" ht="12.75">
      <c r="A251" s="139"/>
      <c r="B251" s="139"/>
      <c r="C251" s="139"/>
      <c r="D251" s="139"/>
      <c r="E251" s="139"/>
    </row>
    <row r="252" spans="1:5" ht="12.75">
      <c r="A252" s="138"/>
      <c r="B252" s="138"/>
      <c r="C252" s="138"/>
      <c r="D252" s="138"/>
      <c r="E252" s="138"/>
    </row>
    <row r="253" spans="1:5" ht="12.75">
      <c r="A253" s="138"/>
      <c r="B253" s="138"/>
      <c r="C253" s="138"/>
      <c r="D253" s="138"/>
      <c r="E253" s="138"/>
    </row>
    <row r="254" spans="1:5" ht="12.75">
      <c r="A254" s="139"/>
      <c r="B254" s="139"/>
      <c r="C254" s="139"/>
      <c r="D254" s="139"/>
      <c r="E254" s="139"/>
    </row>
    <row r="255" spans="1:5" ht="12.75">
      <c r="A255" s="138"/>
      <c r="B255" s="138"/>
      <c r="C255" s="138"/>
      <c r="D255" s="138"/>
      <c r="E255" s="138"/>
    </row>
    <row r="256" spans="1:5" ht="12.75">
      <c r="A256" s="138"/>
      <c r="B256" s="138"/>
      <c r="C256" s="138"/>
      <c r="D256" s="138"/>
      <c r="E256" s="138"/>
    </row>
    <row r="257" spans="1:5" ht="12.75">
      <c r="A257" s="139"/>
      <c r="B257" s="139"/>
      <c r="C257" s="139"/>
      <c r="D257" s="139"/>
      <c r="E257" s="139"/>
    </row>
    <row r="258" spans="1:5" ht="12.75">
      <c r="A258" s="138"/>
      <c r="B258" s="138"/>
      <c r="C258" s="138"/>
      <c r="D258" s="138"/>
      <c r="E258" s="138"/>
    </row>
    <row r="259" spans="1:5" ht="12.75">
      <c r="A259" s="138"/>
      <c r="B259" s="138"/>
      <c r="C259" s="138"/>
      <c r="D259" s="138"/>
      <c r="E259" s="138"/>
    </row>
    <row r="260" spans="1:5" ht="12.75">
      <c r="A260" s="139"/>
      <c r="B260" s="139"/>
      <c r="C260" s="139"/>
      <c r="D260" s="139"/>
      <c r="E260" s="139"/>
    </row>
    <row r="261" spans="1:5" ht="12.75">
      <c r="A261" s="138"/>
      <c r="B261" s="138"/>
      <c r="C261" s="138"/>
      <c r="D261" s="138"/>
      <c r="E261" s="138"/>
    </row>
    <row r="262" spans="1:5" ht="12.75">
      <c r="A262" s="138"/>
      <c r="B262" s="138"/>
      <c r="C262" s="138"/>
      <c r="D262" s="138"/>
      <c r="E262" s="138"/>
    </row>
    <row r="263" spans="1:5" ht="12.75">
      <c r="A263" s="139"/>
      <c r="B263" s="139"/>
      <c r="C263" s="139"/>
      <c r="D263" s="139"/>
      <c r="E263" s="139"/>
    </row>
    <row r="264" spans="1:5" ht="12.75">
      <c r="A264" s="138"/>
      <c r="B264" s="138"/>
      <c r="C264" s="138"/>
      <c r="D264" s="138"/>
      <c r="E264" s="138"/>
    </row>
    <row r="265" spans="1:5" ht="12.75">
      <c r="A265" s="138"/>
      <c r="B265" s="138"/>
      <c r="C265" s="138"/>
      <c r="D265" s="138"/>
      <c r="E265" s="138"/>
    </row>
    <row r="266" spans="1:5" ht="12.75">
      <c r="A266" s="139"/>
      <c r="B266" s="139"/>
      <c r="C266" s="139"/>
      <c r="D266" s="139"/>
      <c r="E266" s="139"/>
    </row>
    <row r="267" spans="1:5" ht="12.75">
      <c r="A267" s="138"/>
      <c r="B267" s="138"/>
      <c r="C267" s="138"/>
      <c r="D267" s="138"/>
      <c r="E267" s="138"/>
    </row>
    <row r="268" spans="1:5" ht="12.75">
      <c r="A268" s="138"/>
      <c r="B268" s="138"/>
      <c r="C268" s="138"/>
      <c r="D268" s="138"/>
      <c r="E268" s="138"/>
    </row>
    <row r="269" spans="1:5" ht="12.75">
      <c r="A269" s="139"/>
      <c r="B269" s="139"/>
      <c r="C269" s="139"/>
      <c r="D269" s="139"/>
      <c r="E269" s="139"/>
    </row>
    <row r="270" spans="1:5" ht="12.75">
      <c r="A270" s="138"/>
      <c r="B270" s="138"/>
      <c r="C270" s="138"/>
      <c r="D270" s="138"/>
      <c r="E270" s="138"/>
    </row>
    <row r="271" spans="1:5" ht="12.75">
      <c r="A271" s="138"/>
      <c r="B271" s="138"/>
      <c r="C271" s="138"/>
      <c r="D271" s="138"/>
      <c r="E271" s="138"/>
    </row>
    <row r="272" spans="1:5" ht="12.75">
      <c r="A272" s="139"/>
      <c r="B272" s="139"/>
      <c r="C272" s="139"/>
      <c r="D272" s="139"/>
      <c r="E272" s="139"/>
    </row>
    <row r="273" spans="1:5" ht="12.75">
      <c r="A273" s="138"/>
      <c r="B273" s="138"/>
      <c r="C273" s="138"/>
      <c r="D273" s="138"/>
      <c r="E273" s="138"/>
    </row>
    <row r="274" spans="1:5" ht="12.75">
      <c r="A274" s="138"/>
      <c r="B274" s="138"/>
      <c r="C274" s="138"/>
      <c r="D274" s="138"/>
      <c r="E274" s="138"/>
    </row>
    <row r="275" spans="1:5" ht="12.75">
      <c r="A275" s="139"/>
      <c r="B275" s="139"/>
      <c r="C275" s="139"/>
      <c r="D275" s="139"/>
      <c r="E275" s="139"/>
    </row>
    <row r="276" spans="1:5" ht="12.75">
      <c r="A276" s="138"/>
      <c r="B276" s="138"/>
      <c r="C276" s="138"/>
      <c r="D276" s="138"/>
      <c r="E276" s="138"/>
    </row>
    <row r="277" spans="1:5" ht="12.75">
      <c r="A277" s="138"/>
      <c r="B277" s="138"/>
      <c r="C277" s="138"/>
      <c r="D277" s="138"/>
      <c r="E277" s="138"/>
    </row>
    <row r="278" spans="1:5" ht="12.75">
      <c r="A278" s="139"/>
      <c r="B278" s="139"/>
      <c r="C278" s="139"/>
      <c r="D278" s="139"/>
      <c r="E278" s="139"/>
    </row>
    <row r="279" spans="1:5" ht="12.75">
      <c r="A279" s="138"/>
      <c r="B279" s="138"/>
      <c r="C279" s="138"/>
      <c r="D279" s="138"/>
      <c r="E279" s="138"/>
    </row>
    <row r="280" spans="1:5" ht="12.75">
      <c r="A280" s="138"/>
      <c r="B280" s="138"/>
      <c r="C280" s="138"/>
      <c r="D280" s="138"/>
      <c r="E280" s="138"/>
    </row>
    <row r="281" spans="1:5" ht="12.75">
      <c r="A281" s="139"/>
      <c r="B281" s="139"/>
      <c r="C281" s="139"/>
      <c r="D281" s="139"/>
      <c r="E281" s="139"/>
    </row>
    <row r="282" spans="1:5" ht="12.75">
      <c r="A282" s="138"/>
      <c r="B282" s="138"/>
      <c r="C282" s="138"/>
      <c r="D282" s="138"/>
      <c r="E282" s="138"/>
    </row>
    <row r="283" spans="1:5" ht="12.75">
      <c r="A283" s="138"/>
      <c r="B283" s="138"/>
      <c r="C283" s="138"/>
      <c r="D283" s="138"/>
      <c r="E283" s="138"/>
    </row>
    <row r="284" spans="1:5" ht="12.75">
      <c r="A284" s="139"/>
      <c r="B284" s="139"/>
      <c r="C284" s="139"/>
      <c r="D284" s="139"/>
      <c r="E284" s="139"/>
    </row>
    <row r="285" spans="1:5" ht="12.75">
      <c r="A285" s="138"/>
      <c r="B285" s="138"/>
      <c r="C285" s="138"/>
      <c r="D285" s="138"/>
      <c r="E285" s="138"/>
    </row>
    <row r="286" spans="1:5" ht="12.75">
      <c r="A286" s="138"/>
      <c r="B286" s="138"/>
      <c r="C286" s="138"/>
      <c r="D286" s="138"/>
      <c r="E286" s="138"/>
    </row>
    <row r="287" spans="1:5" ht="12.75">
      <c r="A287" s="139"/>
      <c r="B287" s="139"/>
      <c r="C287" s="139"/>
      <c r="D287" s="139"/>
      <c r="E287" s="139"/>
    </row>
    <row r="288" spans="1:5" ht="12.75">
      <c r="A288" s="138"/>
      <c r="B288" s="138"/>
      <c r="C288" s="138"/>
      <c r="D288" s="138"/>
      <c r="E288" s="138"/>
    </row>
    <row r="289" spans="1:5" ht="12.75">
      <c r="A289" s="138"/>
      <c r="B289" s="138"/>
      <c r="C289" s="138"/>
      <c r="D289" s="138"/>
      <c r="E289" s="138"/>
    </row>
    <row r="290" spans="1:5" ht="12.75">
      <c r="A290" s="139"/>
      <c r="B290" s="139"/>
      <c r="C290" s="139"/>
      <c r="D290" s="139"/>
      <c r="E290" s="139"/>
    </row>
    <row r="291" spans="1:5" ht="12.75">
      <c r="A291" s="138"/>
      <c r="B291" s="138"/>
      <c r="C291" s="138"/>
      <c r="D291" s="138"/>
      <c r="E291" s="138"/>
    </row>
    <row r="292" spans="1:5" ht="12.75">
      <c r="A292" s="138"/>
      <c r="B292" s="138"/>
      <c r="C292" s="138"/>
      <c r="D292" s="138"/>
      <c r="E292" s="138"/>
    </row>
    <row r="293" spans="1:5" ht="12.75">
      <c r="A293" s="139"/>
      <c r="B293" s="139"/>
      <c r="C293" s="139"/>
      <c r="D293" s="139"/>
      <c r="E293" s="139"/>
    </row>
    <row r="294" spans="1:5" ht="12.75">
      <c r="A294" s="138"/>
      <c r="B294" s="138"/>
      <c r="C294" s="138"/>
      <c r="D294" s="138"/>
      <c r="E294" s="138"/>
    </row>
    <row r="295" spans="1:5" ht="12.75">
      <c r="A295" s="138"/>
      <c r="B295" s="138"/>
      <c r="C295" s="138"/>
      <c r="D295" s="138"/>
      <c r="E295" s="138"/>
    </row>
    <row r="296" spans="1:5" ht="12.75">
      <c r="A296" s="139"/>
      <c r="B296" s="139"/>
      <c r="C296" s="139"/>
      <c r="D296" s="139"/>
      <c r="E296" s="139"/>
    </row>
    <row r="297" spans="1:5" ht="12.75">
      <c r="A297" s="138"/>
      <c r="B297" s="138"/>
      <c r="C297" s="138"/>
      <c r="D297" s="138"/>
      <c r="E297" s="138"/>
    </row>
    <row r="298" spans="1:5" ht="12.75">
      <c r="A298" s="138"/>
      <c r="B298" s="138"/>
      <c r="C298" s="138"/>
      <c r="D298" s="138"/>
      <c r="E298" s="138"/>
    </row>
    <row r="299" spans="1:5" ht="12.75">
      <c r="A299" s="139"/>
      <c r="B299" s="139"/>
      <c r="C299" s="139"/>
      <c r="D299" s="139"/>
      <c r="E299" s="139"/>
    </row>
    <row r="300" spans="1:5" ht="12.75">
      <c r="A300" s="142"/>
      <c r="B300" s="143"/>
      <c r="C300" s="143"/>
      <c r="D300" s="143"/>
      <c r="E300" s="144"/>
    </row>
    <row r="301" spans="1:5" ht="12.75">
      <c r="A301" s="145"/>
      <c r="B301" s="146"/>
      <c r="C301" s="146"/>
      <c r="D301" s="146"/>
      <c r="E301" s="147"/>
    </row>
    <row r="302" spans="1:5" ht="12.75">
      <c r="A302" s="148"/>
      <c r="B302" s="149"/>
      <c r="C302" s="149"/>
      <c r="D302" s="149"/>
      <c r="E302" s="150"/>
    </row>
    <row r="303" spans="1:5" ht="12.75">
      <c r="A303" s="137"/>
      <c r="B303" s="137"/>
      <c r="C303" s="137"/>
      <c r="D303" s="137"/>
      <c r="E303" s="137"/>
    </row>
    <row r="304" spans="1:5" ht="12.75">
      <c r="A304" s="137"/>
      <c r="B304" s="137"/>
      <c r="C304" s="137"/>
      <c r="D304" s="137"/>
      <c r="E304" s="137"/>
    </row>
    <row r="305" spans="1:5" ht="12.75">
      <c r="A305" s="137"/>
      <c r="B305" s="137"/>
      <c r="C305" s="137"/>
      <c r="D305" s="137"/>
      <c r="E305" s="137"/>
    </row>
    <row r="306" spans="1:5" ht="12.75">
      <c r="A306" s="140"/>
      <c r="B306" s="141"/>
      <c r="C306" s="141"/>
      <c r="D306" s="141"/>
      <c r="E306" s="141"/>
    </row>
    <row r="307" spans="1:5" ht="12.75">
      <c r="A307" s="141"/>
      <c r="B307" s="141"/>
      <c r="C307" s="141"/>
      <c r="D307" s="141"/>
      <c r="E307" s="141"/>
    </row>
    <row r="308" spans="1:5" ht="12.75">
      <c r="A308" s="141"/>
      <c r="B308" s="141"/>
      <c r="C308" s="141"/>
      <c r="D308" s="141"/>
      <c r="E308" s="141"/>
    </row>
    <row r="309" spans="1:5" ht="12.75">
      <c r="A309" s="137"/>
      <c r="B309" s="137"/>
      <c r="C309" s="137"/>
      <c r="D309" s="137"/>
      <c r="E309" s="137"/>
    </row>
    <row r="310" spans="1:5" ht="12.75">
      <c r="A310" s="137"/>
      <c r="B310" s="137"/>
      <c r="C310" s="137"/>
      <c r="D310" s="137"/>
      <c r="E310" s="137"/>
    </row>
    <row r="311" spans="1:5" ht="12.75">
      <c r="A311" s="137"/>
      <c r="B311" s="137"/>
      <c r="C311" s="137"/>
      <c r="D311" s="137"/>
      <c r="E311" s="137"/>
    </row>
    <row r="312" spans="1:5" ht="12.75">
      <c r="A312" s="122"/>
      <c r="B312" s="122"/>
      <c r="C312" s="122"/>
      <c r="D312" s="122"/>
      <c r="E312" s="122"/>
    </row>
    <row r="313" spans="1:5" ht="12.75">
      <c r="A313" s="122"/>
      <c r="B313" s="122"/>
      <c r="C313" s="122"/>
      <c r="D313" s="122"/>
      <c r="E313" s="122"/>
    </row>
    <row r="314" spans="1:5" ht="12.75">
      <c r="A314" s="122"/>
      <c r="B314" s="122"/>
      <c r="C314" s="122"/>
      <c r="D314" s="122"/>
      <c r="E314" s="122"/>
    </row>
    <row r="315" spans="1:5" ht="12.75">
      <c r="A315" s="137"/>
      <c r="B315" s="137"/>
      <c r="C315" s="137"/>
      <c r="D315" s="137"/>
      <c r="E315" s="137"/>
    </row>
    <row r="316" spans="1:5" ht="12.75">
      <c r="A316" s="137"/>
      <c r="B316" s="137"/>
      <c r="C316" s="137"/>
      <c r="D316" s="137"/>
      <c r="E316" s="137"/>
    </row>
    <row r="317" spans="1:5" ht="12.75">
      <c r="A317" s="137"/>
      <c r="B317" s="137"/>
      <c r="C317" s="137"/>
      <c r="D317" s="137"/>
      <c r="E317" s="137"/>
    </row>
    <row r="318" spans="1:5" ht="12.75">
      <c r="A318" s="122"/>
      <c r="B318" s="122"/>
      <c r="C318" s="122"/>
      <c r="D318" s="122"/>
      <c r="E318" s="122"/>
    </row>
    <row r="319" spans="1:5" ht="12.75">
      <c r="A319" s="122"/>
      <c r="B319" s="122"/>
      <c r="C319" s="122"/>
      <c r="D319" s="122"/>
      <c r="E319" s="122"/>
    </row>
    <row r="320" spans="1:5" ht="12.75">
      <c r="A320" s="122"/>
      <c r="B320" s="122"/>
      <c r="C320" s="122"/>
      <c r="D320" s="122"/>
      <c r="E320" s="122"/>
    </row>
    <row r="321" spans="1:5" ht="12.75">
      <c r="A321" s="137"/>
      <c r="B321" s="137"/>
      <c r="C321" s="137"/>
      <c r="D321" s="137"/>
      <c r="E321" s="137"/>
    </row>
    <row r="322" spans="1:5" ht="12.75">
      <c r="A322" s="137"/>
      <c r="B322" s="137"/>
      <c r="C322" s="137"/>
      <c r="D322" s="137"/>
      <c r="E322" s="137"/>
    </row>
    <row r="323" spans="1:5" ht="12.75">
      <c r="A323" s="137"/>
      <c r="B323" s="137"/>
      <c r="C323" s="137"/>
      <c r="D323" s="137"/>
      <c r="E323" s="137"/>
    </row>
    <row r="324" spans="1:5" ht="12.75">
      <c r="A324" s="122"/>
      <c r="B324" s="122"/>
      <c r="C324" s="122"/>
      <c r="D324" s="122"/>
      <c r="E324" s="122"/>
    </row>
    <row r="325" spans="1:5" ht="12.75">
      <c r="A325" s="122"/>
      <c r="B325" s="122"/>
      <c r="C325" s="122"/>
      <c r="D325" s="122"/>
      <c r="E325" s="122"/>
    </row>
    <row r="326" spans="1:5" ht="12.75">
      <c r="A326" s="122"/>
      <c r="B326" s="122"/>
      <c r="C326" s="122"/>
      <c r="D326" s="122"/>
      <c r="E326" s="122"/>
    </row>
    <row r="327" spans="1:5" ht="12.75">
      <c r="A327" s="137"/>
      <c r="B327" s="137"/>
      <c r="C327" s="137"/>
      <c r="D327" s="137"/>
      <c r="E327" s="137"/>
    </row>
    <row r="328" spans="1:5" ht="12.75">
      <c r="A328" s="137"/>
      <c r="B328" s="137"/>
      <c r="C328" s="137"/>
      <c r="D328" s="137"/>
      <c r="E328" s="137"/>
    </row>
    <row r="329" spans="1:5" ht="12.75">
      <c r="A329" s="137"/>
      <c r="B329" s="137"/>
      <c r="C329" s="137"/>
      <c r="D329" s="137"/>
      <c r="E329" s="137"/>
    </row>
    <row r="330" spans="1:5" ht="12.75">
      <c r="A330" s="122"/>
      <c r="B330" s="122"/>
      <c r="C330" s="122"/>
      <c r="D330" s="122"/>
      <c r="E330" s="122"/>
    </row>
    <row r="331" spans="1:5" ht="12.75">
      <c r="A331" s="122"/>
      <c r="B331" s="122"/>
      <c r="C331" s="122"/>
      <c r="D331" s="122"/>
      <c r="E331" s="122"/>
    </row>
    <row r="332" spans="1:5" ht="12.75">
      <c r="A332" s="122"/>
      <c r="B332" s="122"/>
      <c r="C332" s="122"/>
      <c r="D332" s="122"/>
      <c r="E332" s="122"/>
    </row>
    <row r="333" spans="1:5" ht="12.75">
      <c r="A333" s="137"/>
      <c r="B333" s="137"/>
      <c r="C333" s="137"/>
      <c r="D333" s="137"/>
      <c r="E333" s="137"/>
    </row>
    <row r="334" spans="1:5" ht="12.75">
      <c r="A334" s="137"/>
      <c r="B334" s="137"/>
      <c r="C334" s="137"/>
      <c r="D334" s="137"/>
      <c r="E334" s="137"/>
    </row>
    <row r="335" spans="1:5" ht="12.75">
      <c r="A335" s="137"/>
      <c r="B335" s="137"/>
      <c r="C335" s="137"/>
      <c r="D335" s="137"/>
      <c r="E335" s="137"/>
    </row>
    <row r="336" spans="1:5" ht="12.75">
      <c r="A336" s="122"/>
      <c r="B336" s="122"/>
      <c r="C336" s="122"/>
      <c r="D336" s="122"/>
      <c r="E336" s="122"/>
    </row>
    <row r="337" spans="1:5" ht="12.75">
      <c r="A337" s="122"/>
      <c r="B337" s="122"/>
      <c r="C337" s="122"/>
      <c r="D337" s="122"/>
      <c r="E337" s="122"/>
    </row>
    <row r="338" spans="1:5" ht="12.75">
      <c r="A338" s="122"/>
      <c r="B338" s="122"/>
      <c r="C338" s="122"/>
      <c r="D338" s="122"/>
      <c r="E338" s="122"/>
    </row>
    <row r="339" spans="1:5" ht="12.75">
      <c r="A339" s="137"/>
      <c r="B339" s="137"/>
      <c r="C339" s="137"/>
      <c r="D339" s="137"/>
      <c r="E339" s="137"/>
    </row>
    <row r="340" spans="1:5" ht="12.75">
      <c r="A340" s="137"/>
      <c r="B340" s="137"/>
      <c r="C340" s="137"/>
      <c r="D340" s="137"/>
      <c r="E340" s="137"/>
    </row>
    <row r="341" spans="1:5" ht="12.75">
      <c r="A341" s="137"/>
      <c r="B341" s="137"/>
      <c r="C341" s="137"/>
      <c r="D341" s="137"/>
      <c r="E341" s="137"/>
    </row>
    <row r="342" spans="1:5" ht="12.75">
      <c r="A342" s="122"/>
      <c r="B342" s="122"/>
      <c r="C342" s="122"/>
      <c r="D342" s="122"/>
      <c r="E342" s="122"/>
    </row>
    <row r="343" spans="1:5" ht="12.75">
      <c r="A343" s="122"/>
      <c r="B343" s="122"/>
      <c r="C343" s="122"/>
      <c r="D343" s="122"/>
      <c r="E343" s="122"/>
    </row>
    <row r="344" spans="1:5" ht="12.75">
      <c r="A344" s="122"/>
      <c r="B344" s="122"/>
      <c r="C344" s="122"/>
      <c r="D344" s="122"/>
      <c r="E344" s="122"/>
    </row>
    <row r="345" spans="1:5" ht="12.75">
      <c r="A345" s="137"/>
      <c r="B345" s="137"/>
      <c r="C345" s="137"/>
      <c r="D345" s="137"/>
      <c r="E345" s="137"/>
    </row>
    <row r="346" spans="1:5" ht="12.75">
      <c r="A346" s="137"/>
      <c r="B346" s="137"/>
      <c r="C346" s="137"/>
      <c r="D346" s="137"/>
      <c r="E346" s="137"/>
    </row>
    <row r="347" spans="1:5" ht="12.75">
      <c r="A347" s="137"/>
      <c r="B347" s="137"/>
      <c r="C347" s="137"/>
      <c r="D347" s="137"/>
      <c r="E347" s="137"/>
    </row>
    <row r="348" spans="1:5" ht="12.75">
      <c r="A348" s="122"/>
      <c r="B348" s="122"/>
      <c r="C348" s="122"/>
      <c r="D348" s="122"/>
      <c r="E348" s="122"/>
    </row>
    <row r="349" spans="1:5" ht="12.75">
      <c r="A349" s="122"/>
      <c r="B349" s="122"/>
      <c r="C349" s="122"/>
      <c r="D349" s="122"/>
      <c r="E349" s="122"/>
    </row>
    <row r="350" spans="1:5" ht="12.75">
      <c r="A350" s="122"/>
      <c r="B350" s="122"/>
      <c r="C350" s="122"/>
      <c r="D350" s="122"/>
      <c r="E350" s="122"/>
    </row>
    <row r="351" spans="1:5" ht="12.75">
      <c r="A351" s="137"/>
      <c r="B351" s="137"/>
      <c r="C351" s="137"/>
      <c r="D351" s="137"/>
      <c r="E351" s="137"/>
    </row>
    <row r="352" spans="1:5" ht="12.75">
      <c r="A352" s="137"/>
      <c r="B352" s="137"/>
      <c r="C352" s="137"/>
      <c r="D352" s="137"/>
      <c r="E352" s="137"/>
    </row>
    <row r="353" spans="1:5" ht="12.75">
      <c r="A353" s="137"/>
      <c r="B353" s="137"/>
      <c r="C353" s="137"/>
      <c r="D353" s="137"/>
      <c r="E353" s="137"/>
    </row>
    <row r="354" spans="1:5" ht="12.75">
      <c r="A354" s="122"/>
      <c r="B354" s="122"/>
      <c r="C354" s="122"/>
      <c r="D354" s="122"/>
      <c r="E354" s="122"/>
    </row>
    <row r="355" spans="1:5" ht="12.75">
      <c r="A355" s="122"/>
      <c r="B355" s="122"/>
      <c r="C355" s="122"/>
      <c r="D355" s="122"/>
      <c r="E355" s="122"/>
    </row>
    <row r="356" spans="1:5" ht="12.75">
      <c r="A356" s="122"/>
      <c r="B356" s="122"/>
      <c r="C356" s="122"/>
      <c r="D356" s="122"/>
      <c r="E356" s="122"/>
    </row>
    <row r="357" spans="1:5" ht="12.75">
      <c r="A357" s="137"/>
      <c r="B357" s="137"/>
      <c r="C357" s="137"/>
      <c r="D357" s="137"/>
      <c r="E357" s="137"/>
    </row>
    <row r="358" spans="1:5" ht="12.75">
      <c r="A358" s="137"/>
      <c r="B358" s="137"/>
      <c r="C358" s="137"/>
      <c r="D358" s="137"/>
      <c r="E358" s="137"/>
    </row>
    <row r="359" spans="1:5" ht="12.75">
      <c r="A359" s="137"/>
      <c r="B359" s="137"/>
      <c r="C359" s="137"/>
      <c r="D359" s="137"/>
      <c r="E359" s="137"/>
    </row>
    <row r="360" spans="1:5" ht="12.75">
      <c r="A360" s="122"/>
      <c r="B360" s="122"/>
      <c r="C360" s="122"/>
      <c r="D360" s="122"/>
      <c r="E360" s="122"/>
    </row>
    <row r="361" spans="1:5" ht="12.75">
      <c r="A361" s="122"/>
      <c r="B361" s="122"/>
      <c r="C361" s="122"/>
      <c r="D361" s="122"/>
      <c r="E361" s="122"/>
    </row>
    <row r="362" spans="1:5" ht="12.75">
      <c r="A362" s="122"/>
      <c r="B362" s="122"/>
      <c r="C362" s="122"/>
      <c r="D362" s="122"/>
      <c r="E362" s="122"/>
    </row>
    <row r="363" spans="1:5" ht="12.75">
      <c r="A363" s="137"/>
      <c r="B363" s="137"/>
      <c r="C363" s="137"/>
      <c r="D363" s="137"/>
      <c r="E363" s="137"/>
    </row>
    <row r="364" spans="1:5" ht="12.75">
      <c r="A364" s="137"/>
      <c r="B364" s="137"/>
      <c r="C364" s="137"/>
      <c r="D364" s="137"/>
      <c r="E364" s="137"/>
    </row>
    <row r="365" spans="1:5" ht="12.75">
      <c r="A365" s="137"/>
      <c r="B365" s="137"/>
      <c r="C365" s="137"/>
      <c r="D365" s="137"/>
      <c r="E365" s="137"/>
    </row>
    <row r="366" spans="1:5" ht="12.75">
      <c r="A366" s="122"/>
      <c r="B366" s="122"/>
      <c r="C366" s="122"/>
      <c r="D366" s="122"/>
      <c r="E366" s="122"/>
    </row>
    <row r="367" spans="1:5" ht="12.75">
      <c r="A367" s="122"/>
      <c r="B367" s="122"/>
      <c r="C367" s="122"/>
      <c r="D367" s="122"/>
      <c r="E367" s="122"/>
    </row>
    <row r="368" spans="1:5" ht="12.75">
      <c r="A368" s="122"/>
      <c r="B368" s="122"/>
      <c r="C368" s="122"/>
      <c r="D368" s="122"/>
      <c r="E368" s="122"/>
    </row>
    <row r="369" spans="1:5" ht="12.75">
      <c r="A369" s="137"/>
      <c r="B369" s="137"/>
      <c r="C369" s="137"/>
      <c r="D369" s="137"/>
      <c r="E369" s="137"/>
    </row>
    <row r="370" spans="1:5" ht="12.75">
      <c r="A370" s="137"/>
      <c r="B370" s="137"/>
      <c r="C370" s="137"/>
      <c r="D370" s="137"/>
      <c r="E370" s="137"/>
    </row>
    <row r="371" spans="1:5" ht="12.75">
      <c r="A371" s="137"/>
      <c r="B371" s="137"/>
      <c r="C371" s="137"/>
      <c r="D371" s="137"/>
      <c r="E371" s="137"/>
    </row>
    <row r="372" spans="1:5" ht="12.75">
      <c r="A372" s="122"/>
      <c r="B372" s="122"/>
      <c r="C372" s="122"/>
      <c r="D372" s="122"/>
      <c r="E372" s="122"/>
    </row>
    <row r="373" spans="1:5" ht="12.75">
      <c r="A373" s="122"/>
      <c r="B373" s="122"/>
      <c r="C373" s="122"/>
      <c r="D373" s="122"/>
      <c r="E373" s="122"/>
    </row>
    <row r="374" spans="1:5" ht="12.75">
      <c r="A374" s="122"/>
      <c r="B374" s="122"/>
      <c r="C374" s="122"/>
      <c r="D374" s="122"/>
      <c r="E374" s="122"/>
    </row>
    <row r="375" spans="1:5" ht="12.75">
      <c r="A375" s="137"/>
      <c r="B375" s="137"/>
      <c r="C375" s="137"/>
      <c r="D375" s="137"/>
      <c r="E375" s="137"/>
    </row>
    <row r="376" spans="1:5" ht="12.75">
      <c r="A376" s="137"/>
      <c r="B376" s="137"/>
      <c r="C376" s="137"/>
      <c r="D376" s="137"/>
      <c r="E376" s="137"/>
    </row>
    <row r="377" spans="1:5" ht="12.75">
      <c r="A377" s="137"/>
      <c r="B377" s="137"/>
      <c r="C377" s="137"/>
      <c r="D377" s="137"/>
      <c r="E377" s="137"/>
    </row>
    <row r="378" spans="1:5" ht="12.75">
      <c r="A378" s="122"/>
      <c r="B378" s="122"/>
      <c r="C378" s="122"/>
      <c r="D378" s="122"/>
      <c r="E378" s="122"/>
    </row>
    <row r="379" spans="1:5" ht="12.75">
      <c r="A379" s="122"/>
      <c r="B379" s="122"/>
      <c r="C379" s="122"/>
      <c r="D379" s="122"/>
      <c r="E379" s="122"/>
    </row>
    <row r="380" spans="1:5" ht="12.75">
      <c r="A380" s="122"/>
      <c r="B380" s="122"/>
      <c r="C380" s="122"/>
      <c r="D380" s="122"/>
      <c r="E380" s="122"/>
    </row>
    <row r="381" spans="1:5" ht="12.75">
      <c r="A381" s="137"/>
      <c r="B381" s="137"/>
      <c r="C381" s="137"/>
      <c r="D381" s="137"/>
      <c r="E381" s="137"/>
    </row>
    <row r="382" spans="1:5" ht="12.75">
      <c r="A382" s="137"/>
      <c r="B382" s="137"/>
      <c r="C382" s="137"/>
      <c r="D382" s="137"/>
      <c r="E382" s="137"/>
    </row>
    <row r="383" spans="1:5" ht="12.75">
      <c r="A383" s="137"/>
      <c r="B383" s="137"/>
      <c r="C383" s="137"/>
      <c r="D383" s="137"/>
      <c r="E383" s="137"/>
    </row>
    <row r="384" spans="1:5" ht="12.75">
      <c r="A384" s="122"/>
      <c r="B384" s="122"/>
      <c r="C384" s="122"/>
      <c r="D384" s="122"/>
      <c r="E384" s="122"/>
    </row>
    <row r="385" spans="1:5" ht="12.75">
      <c r="A385" s="122"/>
      <c r="B385" s="122"/>
      <c r="C385" s="122"/>
      <c r="D385" s="122"/>
      <c r="E385" s="122"/>
    </row>
    <row r="386" spans="1:5" ht="12.75">
      <c r="A386" s="122"/>
      <c r="B386" s="122"/>
      <c r="C386" s="122"/>
      <c r="D386" s="122"/>
      <c r="E386" s="122"/>
    </row>
    <row r="387" spans="1:5" ht="12.75">
      <c r="A387" s="137"/>
      <c r="B387" s="137"/>
      <c r="C387" s="137"/>
      <c r="D387" s="137"/>
      <c r="E387" s="137"/>
    </row>
    <row r="388" spans="1:5" ht="12.75">
      <c r="A388" s="137"/>
      <c r="B388" s="137"/>
      <c r="C388" s="137"/>
      <c r="D388" s="137"/>
      <c r="E388" s="137"/>
    </row>
    <row r="389" spans="1:5" ht="12.75">
      <c r="A389" s="137"/>
      <c r="B389" s="137"/>
      <c r="C389" s="137"/>
      <c r="D389" s="137"/>
      <c r="E389" s="137"/>
    </row>
    <row r="390" spans="1:5" ht="12.75">
      <c r="A390" s="122"/>
      <c r="B390" s="122"/>
      <c r="C390" s="122"/>
      <c r="D390" s="122"/>
      <c r="E390" s="122"/>
    </row>
    <row r="391" spans="1:5" ht="12.75">
      <c r="A391" s="122"/>
      <c r="B391" s="122"/>
      <c r="C391" s="122"/>
      <c r="D391" s="122"/>
      <c r="E391" s="122"/>
    </row>
    <row r="392" spans="1:5" ht="12.75">
      <c r="A392" s="122"/>
      <c r="B392" s="122"/>
      <c r="C392" s="122"/>
      <c r="D392" s="122"/>
      <c r="E392" s="122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449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1.281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67" ht="27" customHeight="1">
      <c r="A1" s="267" t="s">
        <v>70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9"/>
      <c r="U1" s="197" t="s">
        <v>73</v>
      </c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4"/>
      <c r="AG1" s="42"/>
      <c r="AH1" s="190" t="s">
        <v>84</v>
      </c>
      <c r="AI1" s="190"/>
      <c r="AJ1" s="190"/>
      <c r="AK1" s="190"/>
      <c r="AL1" s="190"/>
      <c r="AM1" s="190"/>
      <c r="AN1" s="190"/>
      <c r="AR1" s="61" t="s">
        <v>8</v>
      </c>
      <c r="AS1" s="61" t="s">
        <v>7</v>
      </c>
      <c r="AT1" s="61" t="s">
        <v>9</v>
      </c>
      <c r="AU1" s="61" t="s">
        <v>113</v>
      </c>
      <c r="AV1" s="61" t="s">
        <v>210</v>
      </c>
      <c r="AW1" s="61" t="s">
        <v>166</v>
      </c>
      <c r="AX1" s="61" t="s">
        <v>12</v>
      </c>
      <c r="AY1" s="61" t="s">
        <v>229</v>
      </c>
      <c r="AZ1" s="61" t="s">
        <v>53</v>
      </c>
      <c r="BA1" s="61" t="s">
        <v>237</v>
      </c>
      <c r="BB1" s="61" t="s">
        <v>227</v>
      </c>
      <c r="BC1" s="61" t="s">
        <v>15</v>
      </c>
      <c r="BD1" s="61" t="s">
        <v>16</v>
      </c>
      <c r="BE1" s="61" t="s">
        <v>321</v>
      </c>
      <c r="BF1" s="61" t="s">
        <v>54</v>
      </c>
      <c r="BG1" s="61" t="s">
        <v>19</v>
      </c>
      <c r="BH1" s="61" t="s">
        <v>20</v>
      </c>
      <c r="BI1" s="61" t="s">
        <v>21</v>
      </c>
      <c r="BJ1" s="61" t="s">
        <v>22</v>
      </c>
      <c r="BK1" s="61" t="s">
        <v>140</v>
      </c>
      <c r="BL1" s="61" t="s">
        <v>62</v>
      </c>
      <c r="BM1" s="61" t="s">
        <v>23</v>
      </c>
      <c r="BN1" s="61" t="s">
        <v>24</v>
      </c>
      <c r="BO1" s="61" t="s">
        <v>25</v>
      </c>
      <c r="BP1" s="61" t="s">
        <v>29</v>
      </c>
      <c r="BQ1" s="61" t="s">
        <v>55</v>
      </c>
      <c r="BR1" s="61" t="s">
        <v>28</v>
      </c>
      <c r="BS1" s="61" t="s">
        <v>27</v>
      </c>
      <c r="BT1" s="61" t="s">
        <v>129</v>
      </c>
      <c r="BU1" s="61" t="s">
        <v>0</v>
      </c>
      <c r="BV1" s="61" t="s">
        <v>156</v>
      </c>
      <c r="BW1" s="61" t="s">
        <v>30</v>
      </c>
      <c r="BX1" s="61" t="s">
        <v>31</v>
      </c>
      <c r="BY1" s="61" t="s">
        <v>32</v>
      </c>
      <c r="BZ1" s="61" t="s">
        <v>251</v>
      </c>
      <c r="CA1" s="61" t="s">
        <v>254</v>
      </c>
      <c r="CB1" s="61" t="s">
        <v>35</v>
      </c>
      <c r="CC1" s="61" t="s">
        <v>111</v>
      </c>
      <c r="CD1" s="61" t="s">
        <v>36</v>
      </c>
      <c r="CE1" s="61" t="s">
        <v>37</v>
      </c>
      <c r="CF1" s="61" t="s">
        <v>38</v>
      </c>
      <c r="CG1" s="61" t="s">
        <v>39</v>
      </c>
      <c r="CH1" s="61" t="s">
        <v>131</v>
      </c>
      <c r="CI1" s="61" t="s">
        <v>40</v>
      </c>
      <c r="CJ1" s="61" t="s">
        <v>41</v>
      </c>
      <c r="CK1" s="61" t="s">
        <v>132</v>
      </c>
      <c r="CL1" s="61" t="s">
        <v>56</v>
      </c>
      <c r="CM1" s="61" t="s">
        <v>43</v>
      </c>
      <c r="CN1" s="61" t="s">
        <v>139</v>
      </c>
      <c r="CO1" s="61" t="s">
        <v>42</v>
      </c>
      <c r="CP1" s="61" t="s">
        <v>235</v>
      </c>
      <c r="CQ1" s="61" t="s">
        <v>443</v>
      </c>
      <c r="CR1" s="61" t="s">
        <v>46</v>
      </c>
      <c r="CS1" s="61" t="s">
        <v>137</v>
      </c>
      <c r="CT1" s="61" t="s">
        <v>134</v>
      </c>
      <c r="CU1" s="61" t="s">
        <v>128</v>
      </c>
      <c r="CV1" s="61" t="s">
        <v>231</v>
      </c>
      <c r="CW1" s="61" t="s">
        <v>47</v>
      </c>
      <c r="CX1" s="61" t="s">
        <v>2</v>
      </c>
      <c r="CY1" s="61" t="s">
        <v>48</v>
      </c>
      <c r="CZ1" s="61" t="s">
        <v>49</v>
      </c>
      <c r="DA1" s="61" t="s">
        <v>50</v>
      </c>
      <c r="DB1" s="61" t="s">
        <v>51</v>
      </c>
      <c r="DC1" s="61" t="s">
        <v>52</v>
      </c>
      <c r="DD1" s="61" t="s">
        <v>232</v>
      </c>
      <c r="DE1" s="61" t="s">
        <v>57</v>
      </c>
      <c r="DF1" s="61" t="s">
        <v>58</v>
      </c>
      <c r="DG1" s="61" t="s">
        <v>136</v>
      </c>
      <c r="DH1" s="61" t="s">
        <v>59</v>
      </c>
      <c r="DI1" s="61" t="s">
        <v>60</v>
      </c>
      <c r="DJ1" s="61" t="s">
        <v>64</v>
      </c>
      <c r="DK1" s="61" t="s">
        <v>61</v>
      </c>
      <c r="DL1" s="61" t="s">
        <v>63</v>
      </c>
      <c r="DM1" s="61" t="s">
        <v>135</v>
      </c>
      <c r="DN1" s="61" t="s">
        <v>258</v>
      </c>
      <c r="DO1" s="61" t="s">
        <v>117</v>
      </c>
      <c r="DP1" s="61" t="s">
        <v>162</v>
      </c>
      <c r="DQ1" s="61" t="s">
        <v>124</v>
      </c>
      <c r="DR1" s="61" t="s">
        <v>444</v>
      </c>
      <c r="DS1" s="61" t="s">
        <v>103</v>
      </c>
      <c r="DT1" s="61" t="s">
        <v>445</v>
      </c>
      <c r="DU1" s="61" t="s">
        <v>104</v>
      </c>
      <c r="DV1" s="61" t="s">
        <v>446</v>
      </c>
      <c r="DW1" s="61" t="s">
        <v>105</v>
      </c>
      <c r="DX1" s="61" t="s">
        <v>112</v>
      </c>
      <c r="DY1" s="61" t="s">
        <v>118</v>
      </c>
      <c r="DZ1" s="61" t="s">
        <v>268</v>
      </c>
      <c r="EA1" s="61" t="s">
        <v>269</v>
      </c>
      <c r="EB1" s="61" t="s">
        <v>271</v>
      </c>
      <c r="EC1" s="61" t="s">
        <v>274</v>
      </c>
      <c r="ED1" s="61" t="s">
        <v>281</v>
      </c>
      <c r="EE1" s="61" t="s">
        <v>283</v>
      </c>
      <c r="EF1" s="61" t="s">
        <v>285</v>
      </c>
      <c r="EG1" s="61" t="s">
        <v>287</v>
      </c>
      <c r="EH1" s="61" t="s">
        <v>290</v>
      </c>
      <c r="EI1" s="61" t="s">
        <v>294</v>
      </c>
      <c r="EJ1" s="61" t="s">
        <v>295</v>
      </c>
      <c r="EK1" s="61" t="s">
        <v>299</v>
      </c>
      <c r="EL1" s="61" t="s">
        <v>308</v>
      </c>
      <c r="EM1" s="61" t="s">
        <v>313</v>
      </c>
      <c r="EN1" s="61" t="s">
        <v>311</v>
      </c>
      <c r="EO1" s="61" t="s">
        <v>314</v>
      </c>
      <c r="EP1" s="61" t="s">
        <v>316</v>
      </c>
      <c r="EQ1" s="61" t="s">
        <v>317</v>
      </c>
      <c r="ER1" s="61" t="s">
        <v>322</v>
      </c>
      <c r="ES1" s="61" t="s">
        <v>326</v>
      </c>
      <c r="ET1" s="61" t="s">
        <v>329</v>
      </c>
      <c r="EU1" s="61" t="s">
        <v>330</v>
      </c>
      <c r="EV1" s="61" t="s">
        <v>331</v>
      </c>
      <c r="EW1" s="61" t="s">
        <v>343</v>
      </c>
      <c r="EX1" s="61" t="s">
        <v>344</v>
      </c>
      <c r="EY1" s="61" t="s">
        <v>346</v>
      </c>
      <c r="EZ1" s="61" t="s">
        <v>347</v>
      </c>
      <c r="FA1" s="61" t="s">
        <v>354</v>
      </c>
      <c r="FB1" s="61" t="s">
        <v>356</v>
      </c>
      <c r="FC1" s="61" t="s">
        <v>358</v>
      </c>
      <c r="FD1" s="61" t="s">
        <v>361</v>
      </c>
      <c r="FE1" s="61" t="s">
        <v>368</v>
      </c>
      <c r="FF1" s="61" t="s">
        <v>371</v>
      </c>
      <c r="FG1" s="61" t="s">
        <v>372</v>
      </c>
      <c r="FH1" s="61" t="s">
        <v>374</v>
      </c>
      <c r="FI1" s="61" t="s">
        <v>407</v>
      </c>
      <c r="FJ1" s="61" t="s">
        <v>411</v>
      </c>
      <c r="FK1" s="61" t="s">
        <v>415</v>
      </c>
    </row>
    <row r="2" spans="1:128" ht="21" customHeight="1">
      <c r="A2" s="268" t="s">
        <v>71</v>
      </c>
      <c r="B2" s="269"/>
      <c r="C2" s="200" t="s">
        <v>72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10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6"/>
      <c r="AG2" s="191" t="s">
        <v>85</v>
      </c>
      <c r="AH2" s="192"/>
      <c r="AI2" s="192"/>
      <c r="AJ2" s="192"/>
      <c r="AK2" s="192"/>
      <c r="AL2" s="192"/>
      <c r="AM2" s="192"/>
      <c r="AN2" s="192"/>
      <c r="AP2">
        <v>1</v>
      </c>
      <c r="AQ2" s="62" t="s">
        <v>449</v>
      </c>
      <c r="AR2" s="61"/>
      <c r="AS2" s="61"/>
      <c r="AT2" s="61"/>
      <c r="AU2" s="61"/>
      <c r="AV2" s="61"/>
      <c r="AW2" s="61"/>
      <c r="AX2" s="61"/>
      <c r="AY2" s="61"/>
      <c r="AZ2" s="61">
        <v>5</v>
      </c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>
        <v>30.3</v>
      </c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>
        <v>40</v>
      </c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75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</row>
    <row r="3" spans="1:128" ht="15" customHeight="1">
      <c r="A3" s="270"/>
      <c r="B3" s="271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10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6"/>
      <c r="AG3" s="6"/>
      <c r="AH3" s="6"/>
      <c r="AI3" s="6"/>
      <c r="AJ3" s="6"/>
      <c r="AK3" s="17"/>
      <c r="AL3" s="17"/>
      <c r="AP3">
        <v>2</v>
      </c>
      <c r="AQ3" s="62" t="s">
        <v>141</v>
      </c>
      <c r="AR3" s="61"/>
      <c r="AS3" s="61"/>
      <c r="AT3" s="61"/>
      <c r="AU3" s="61"/>
      <c r="AV3" s="61"/>
      <c r="AW3" s="61"/>
      <c r="AX3" s="61"/>
      <c r="AY3" s="61"/>
      <c r="AZ3" s="61">
        <v>5</v>
      </c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>
        <v>30.3</v>
      </c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>
        <v>40</v>
      </c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75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</row>
    <row r="4" spans="1:128" ht="15" customHeight="1">
      <c r="A4" s="270"/>
      <c r="B4" s="271"/>
      <c r="C4" s="200"/>
      <c r="D4" s="200"/>
      <c r="E4" s="200"/>
      <c r="F4" s="200" t="s">
        <v>95</v>
      </c>
      <c r="G4" s="200"/>
      <c r="H4" s="200" t="s">
        <v>96</v>
      </c>
      <c r="I4" s="200"/>
      <c r="J4" s="200"/>
      <c r="K4" s="200" t="s">
        <v>97</v>
      </c>
      <c r="L4" s="200"/>
      <c r="M4" s="200"/>
      <c r="N4" s="200" t="s">
        <v>98</v>
      </c>
      <c r="O4" s="200"/>
      <c r="P4" s="200"/>
      <c r="Q4" s="200"/>
      <c r="R4" s="200"/>
      <c r="S4" s="200"/>
      <c r="T4" s="6"/>
      <c r="U4" s="198" t="s">
        <v>74</v>
      </c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3" t="s">
        <v>126</v>
      </c>
      <c r="AG4" s="193"/>
      <c r="AH4" s="193"/>
      <c r="AI4" s="193"/>
      <c r="AJ4" s="193"/>
      <c r="AK4" s="193"/>
      <c r="AL4" s="193"/>
      <c r="AM4" s="193"/>
      <c r="AN4" s="193"/>
      <c r="AP4">
        <v>3</v>
      </c>
      <c r="AQ4" s="62" t="s">
        <v>142</v>
      </c>
      <c r="AR4" s="61"/>
      <c r="AS4" s="61"/>
      <c r="AT4" s="61"/>
      <c r="AU4" s="61"/>
      <c r="AV4" s="61"/>
      <c r="AW4" s="61"/>
      <c r="AX4" s="61"/>
      <c r="AY4" s="61"/>
      <c r="AZ4" s="61">
        <v>5</v>
      </c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>
        <v>30.3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>
        <v>40</v>
      </c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75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2"/>
      <c r="B5" s="273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6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3"/>
      <c r="AG5" s="193"/>
      <c r="AH5" s="193"/>
      <c r="AI5" s="193"/>
      <c r="AJ5" s="193"/>
      <c r="AK5" s="193"/>
      <c r="AL5" s="193"/>
      <c r="AM5" s="193"/>
      <c r="AN5" s="193"/>
      <c r="AP5">
        <v>4</v>
      </c>
      <c r="AQ5" s="62" t="s">
        <v>143</v>
      </c>
      <c r="AR5" s="61"/>
      <c r="AS5" s="61"/>
      <c r="AT5" s="61"/>
      <c r="AU5" s="61"/>
      <c r="AV5" s="61"/>
      <c r="AW5" s="61"/>
      <c r="AX5" s="61"/>
      <c r="AY5" s="61"/>
      <c r="AZ5" s="61">
        <v>5</v>
      </c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>
        <v>30.3</v>
      </c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>
        <v>40</v>
      </c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75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4"/>
      <c r="B6" s="275"/>
      <c r="C6" s="216" t="s">
        <v>92</v>
      </c>
      <c r="D6" s="216"/>
      <c r="E6" s="216"/>
      <c r="F6" s="217">
        <f>AVERAGE(завтракл,обідл,ужинл)</f>
        <v>15</v>
      </c>
      <c r="G6" s="218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6"/>
      <c r="U6" s="198" t="s">
        <v>453</v>
      </c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6"/>
      <c r="AG6" s="6"/>
      <c r="AH6" s="18"/>
      <c r="AI6" s="6"/>
      <c r="AJ6" s="5"/>
      <c r="AK6" s="17"/>
      <c r="AL6" s="17"/>
      <c r="AP6">
        <v>5</v>
      </c>
      <c r="AQ6" s="62" t="s">
        <v>144</v>
      </c>
      <c r="AR6" s="61">
        <v>105</v>
      </c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>
        <v>36</v>
      </c>
      <c r="BE6" s="61"/>
      <c r="BF6" s="61"/>
      <c r="BG6" s="61"/>
      <c r="BH6" s="61"/>
      <c r="BI6" s="61"/>
      <c r="BJ6" s="61"/>
      <c r="BK6" s="61"/>
      <c r="BL6" s="61">
        <v>72</v>
      </c>
      <c r="BM6" s="61">
        <v>0.09</v>
      </c>
      <c r="BN6" s="61"/>
      <c r="BO6" s="61"/>
      <c r="BP6" s="61"/>
      <c r="BQ6" s="61"/>
      <c r="BR6" s="61"/>
      <c r="BS6" s="61"/>
      <c r="BT6" s="61"/>
      <c r="BU6" s="61"/>
      <c r="BV6" s="61"/>
      <c r="BW6" s="61">
        <v>0.2</v>
      </c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>
        <v>14.4</v>
      </c>
      <c r="CI6" s="61"/>
      <c r="CJ6" s="61"/>
      <c r="CK6" s="61"/>
      <c r="CL6" s="61">
        <v>5.4</v>
      </c>
      <c r="CM6" s="61">
        <v>0.6</v>
      </c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>
        <v>0.5</v>
      </c>
      <c r="DA6" s="61"/>
      <c r="DB6" s="61"/>
      <c r="DC6" s="61"/>
      <c r="DD6" s="61"/>
      <c r="DE6" s="61" t="s">
        <v>145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6"/>
      <c r="B7" s="277"/>
      <c r="C7" s="216"/>
      <c r="D7" s="216"/>
      <c r="E7" s="216"/>
      <c r="F7" s="219"/>
      <c r="G7" s="220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6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4" t="s">
        <v>460</v>
      </c>
      <c r="AG7" s="194"/>
      <c r="AH7" s="194"/>
      <c r="AI7" s="194"/>
      <c r="AJ7" s="194"/>
      <c r="AK7" s="194"/>
      <c r="AL7" s="194"/>
      <c r="AM7" s="194"/>
      <c r="AN7" s="194"/>
      <c r="AP7">
        <v>6</v>
      </c>
      <c r="AQ7" s="62" t="s">
        <v>146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>
        <v>5</v>
      </c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26.1</v>
      </c>
      <c r="CH7" s="61"/>
      <c r="CI7" s="61"/>
      <c r="CJ7" s="61"/>
      <c r="CK7" s="61">
        <v>27.1</v>
      </c>
      <c r="CL7" s="61"/>
      <c r="CM7" s="61"/>
      <c r="CN7" s="61"/>
      <c r="CO7" s="61">
        <v>78.9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>
        <v>100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6"/>
      <c r="B8" s="277"/>
      <c r="C8" s="216"/>
      <c r="D8" s="216"/>
      <c r="E8" s="216"/>
      <c r="F8" s="221"/>
      <c r="G8" s="222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147</v>
      </c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>
        <v>5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>
        <v>109</v>
      </c>
      <c r="CP8" s="61"/>
      <c r="CQ8" s="61">
        <v>20.4</v>
      </c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100</v>
      </c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6"/>
      <c r="B9" s="277"/>
      <c r="C9" s="195" t="s">
        <v>93</v>
      </c>
      <c r="D9" s="195"/>
      <c r="E9" s="195"/>
      <c r="F9" s="211"/>
      <c r="G9" s="211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4"/>
      <c r="U9" s="14"/>
      <c r="V9" s="14"/>
      <c r="W9" s="14"/>
      <c r="X9" s="199" t="s">
        <v>454</v>
      </c>
      <c r="Y9" s="199"/>
      <c r="Z9" s="199"/>
      <c r="AA9" s="199"/>
      <c r="AB9" s="199"/>
      <c r="AC9" s="199"/>
      <c r="AD9" s="6"/>
      <c r="AE9" s="189" t="s">
        <v>90</v>
      </c>
      <c r="AF9" s="189"/>
      <c r="AG9" s="189" t="s">
        <v>89</v>
      </c>
      <c r="AH9" s="189"/>
      <c r="AI9" s="189" t="s">
        <v>88</v>
      </c>
      <c r="AJ9" s="189"/>
      <c r="AK9" s="189" t="s">
        <v>87</v>
      </c>
      <c r="AL9" s="189"/>
      <c r="AM9" s="189" t="s">
        <v>86</v>
      </c>
      <c r="AN9" s="189"/>
      <c r="AP9">
        <v>8</v>
      </c>
      <c r="AQ9" s="62" t="s">
        <v>148</v>
      </c>
      <c r="AR9" s="62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>
        <v>5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>
        <v>124</v>
      </c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100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6"/>
      <c r="B10" s="277"/>
      <c r="C10" s="195"/>
      <c r="D10" s="195"/>
      <c r="E10" s="195"/>
      <c r="F10" s="211"/>
      <c r="G10" s="21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4"/>
      <c r="U10" s="14"/>
      <c r="V10" s="14"/>
      <c r="W10" s="14"/>
      <c r="X10" s="199"/>
      <c r="Y10" s="199"/>
      <c r="Z10" s="199"/>
      <c r="AA10" s="199"/>
      <c r="AB10" s="199"/>
      <c r="AC10" s="199"/>
      <c r="AD10" s="10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P10">
        <v>9</v>
      </c>
      <c r="AQ10" s="61" t="s">
        <v>149</v>
      </c>
      <c r="AV10" s="61"/>
      <c r="AW10" s="61"/>
      <c r="AX10" s="61"/>
      <c r="AY10" s="61"/>
      <c r="AZ10" s="61"/>
      <c r="BA10" s="61"/>
      <c r="BB10" s="61"/>
      <c r="BC10" s="61">
        <v>5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>
        <v>119</v>
      </c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100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6"/>
      <c r="B11" s="277"/>
      <c r="C11" s="195"/>
      <c r="D11" s="195"/>
      <c r="E11" s="195"/>
      <c r="F11" s="211"/>
      <c r="G11" s="21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4"/>
      <c r="U11" s="14"/>
      <c r="V11" s="14"/>
      <c r="W11" s="14"/>
      <c r="X11" s="199"/>
      <c r="Y11" s="199"/>
      <c r="Z11" s="199"/>
      <c r="AA11" s="199"/>
      <c r="AB11" s="199"/>
      <c r="AC11" s="199"/>
      <c r="AD11" s="5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P11">
        <v>10</v>
      </c>
      <c r="AQ11" s="62" t="s">
        <v>150</v>
      </c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>
        <v>5</v>
      </c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>
        <v>104</v>
      </c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>
        <v>3.5</v>
      </c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>
        <v>9.2</v>
      </c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6"/>
      <c r="B12" s="277"/>
      <c r="C12" s="196"/>
      <c r="D12" s="196"/>
      <c r="E12" s="196"/>
      <c r="F12" s="213"/>
      <c r="G12" s="213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4"/>
      <c r="U12" s="14"/>
      <c r="V12" s="14"/>
      <c r="W12" s="14"/>
      <c r="X12" s="199"/>
      <c r="Y12" s="199"/>
      <c r="Z12" s="199"/>
      <c r="AA12" s="199"/>
      <c r="AB12" s="199"/>
      <c r="AC12" s="199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158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>
        <v>5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>
        <v>16.8</v>
      </c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>
        <v>64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>
        <v>3.1</v>
      </c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6"/>
      <c r="B13" s="277"/>
      <c r="C13" s="195" t="s">
        <v>94</v>
      </c>
      <c r="D13" s="195"/>
      <c r="E13" s="195"/>
      <c r="F13" s="211">
        <f>AM181/сред</f>
        <v>74.21268000000002</v>
      </c>
      <c r="G13" s="211"/>
      <c r="H13" s="280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151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>
        <v>4.7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>
        <v>95</v>
      </c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6"/>
      <c r="B14" s="277"/>
      <c r="C14" s="195"/>
      <c r="D14" s="195"/>
      <c r="E14" s="195"/>
      <c r="F14" s="211"/>
      <c r="G14" s="211"/>
      <c r="H14" s="280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152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>
        <v>5</v>
      </c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>
        <v>100</v>
      </c>
      <c r="CH14" s="61"/>
      <c r="CI14" s="61"/>
      <c r="CJ14" s="61"/>
      <c r="CK14" s="61"/>
      <c r="CL14" s="61">
        <v>22.2</v>
      </c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6"/>
      <c r="B15" s="277"/>
      <c r="C15" s="195"/>
      <c r="D15" s="195"/>
      <c r="E15" s="195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8"/>
      <c r="B16" s="279"/>
      <c r="C16" s="195"/>
      <c r="D16" s="195"/>
      <c r="E16" s="195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153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>
        <v>5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>
        <v>112.5</v>
      </c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>
        <v>5.1</v>
      </c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100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80</v>
      </c>
      <c r="B18" s="282"/>
      <c r="C18" s="283"/>
      <c r="D18" s="283"/>
      <c r="E18" s="284"/>
      <c r="F18" s="285" t="s">
        <v>81</v>
      </c>
      <c r="G18" s="203" t="s">
        <v>101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2"/>
      <c r="AH18" s="312" t="s">
        <v>1</v>
      </c>
      <c r="AI18" s="301" t="s">
        <v>119</v>
      </c>
      <c r="AJ18" s="302"/>
      <c r="AK18" s="281" t="s">
        <v>91</v>
      </c>
      <c r="AL18" s="283"/>
      <c r="AM18" s="283"/>
      <c r="AN18" s="284"/>
      <c r="AP18">
        <v>17</v>
      </c>
      <c r="AQ18" s="62" t="s">
        <v>154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>
        <v>5</v>
      </c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>
        <v>15</v>
      </c>
      <c r="BX18" s="61"/>
      <c r="BY18" s="61"/>
      <c r="BZ18" s="61"/>
      <c r="CA18" s="61"/>
      <c r="CB18" s="61"/>
      <c r="CC18" s="61"/>
      <c r="CD18" s="61"/>
      <c r="CE18" s="61"/>
      <c r="CF18" s="61">
        <v>39.8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>
        <v>93</v>
      </c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100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87" t="s">
        <v>79</v>
      </c>
      <c r="B19" s="288"/>
      <c r="C19" s="288"/>
      <c r="D19" s="288"/>
      <c r="E19" s="214"/>
      <c r="F19" s="286"/>
      <c r="G19" s="205" t="s">
        <v>75</v>
      </c>
      <c r="H19" s="206"/>
      <c r="I19" s="206"/>
      <c r="J19" s="206"/>
      <c r="K19" s="206"/>
      <c r="L19" s="206"/>
      <c r="M19" s="206"/>
      <c r="N19" s="207"/>
      <c r="O19" s="205" t="s">
        <v>76</v>
      </c>
      <c r="P19" s="206"/>
      <c r="Q19" s="206"/>
      <c r="R19" s="206"/>
      <c r="S19" s="206"/>
      <c r="T19" s="206"/>
      <c r="U19" s="206"/>
      <c r="V19" s="207"/>
      <c r="W19" s="212" t="s">
        <v>77</v>
      </c>
      <c r="X19" s="212"/>
      <c r="Y19" s="212"/>
      <c r="Z19" s="206" t="s">
        <v>78</v>
      </c>
      <c r="AA19" s="206"/>
      <c r="AB19" s="206"/>
      <c r="AC19" s="206"/>
      <c r="AD19" s="206"/>
      <c r="AE19" s="206"/>
      <c r="AF19" s="206"/>
      <c r="AG19" s="206"/>
      <c r="AH19" s="313"/>
      <c r="AI19" s="303"/>
      <c r="AJ19" s="304"/>
      <c r="AK19" s="306" t="s">
        <v>6</v>
      </c>
      <c r="AL19" s="307"/>
      <c r="AM19" s="307"/>
      <c r="AN19" s="308"/>
      <c r="AP19">
        <v>18</v>
      </c>
      <c r="AQ19" s="62" t="s">
        <v>155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>
        <v>5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>
        <v>14.7</v>
      </c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>
        <v>115.6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08"/>
      <c r="H20" s="209"/>
      <c r="I20" s="209"/>
      <c r="J20" s="209"/>
      <c r="K20" s="209"/>
      <c r="L20" s="209"/>
      <c r="M20" s="209"/>
      <c r="N20" s="210"/>
      <c r="O20" s="208"/>
      <c r="P20" s="209"/>
      <c r="Q20" s="209"/>
      <c r="R20" s="209"/>
      <c r="S20" s="209"/>
      <c r="T20" s="209"/>
      <c r="U20" s="209"/>
      <c r="V20" s="210"/>
      <c r="W20" s="212"/>
      <c r="X20" s="212"/>
      <c r="Y20" s="212"/>
      <c r="Z20" s="209"/>
      <c r="AA20" s="209"/>
      <c r="AB20" s="209"/>
      <c r="AC20" s="209"/>
      <c r="AD20" s="209"/>
      <c r="AE20" s="209"/>
      <c r="AF20" s="209"/>
      <c r="AG20" s="209"/>
      <c r="AH20" s="313"/>
      <c r="AI20" s="303"/>
      <c r="AJ20" s="304"/>
      <c r="AK20" s="309"/>
      <c r="AL20" s="310"/>
      <c r="AM20" s="310"/>
      <c r="AN20" s="311"/>
      <c r="AP20">
        <v>19</v>
      </c>
      <c r="AQ20" s="62" t="s">
        <v>157</v>
      </c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>
        <v>5</v>
      </c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>
        <v>4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>
        <v>121.1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88"/>
      <c r="B21" s="292"/>
      <c r="C21" s="292"/>
      <c r="D21" s="292"/>
      <c r="E21" s="215"/>
      <c r="F21" s="287"/>
      <c r="G21" s="66" t="s">
        <v>279</v>
      </c>
      <c r="H21" s="66" t="s">
        <v>421</v>
      </c>
      <c r="I21" s="66" t="s">
        <v>416</v>
      </c>
      <c r="J21" s="66" t="s">
        <v>327</v>
      </c>
      <c r="K21" s="66" t="s">
        <v>398</v>
      </c>
      <c r="L21" s="66" t="s">
        <v>455</v>
      </c>
      <c r="M21" s="66"/>
      <c r="N21" s="75" t="s">
        <v>415</v>
      </c>
      <c r="O21" s="67" t="s">
        <v>456</v>
      </c>
      <c r="P21" s="66" t="s">
        <v>336</v>
      </c>
      <c r="Q21" s="66" t="s">
        <v>201</v>
      </c>
      <c r="R21" s="66" t="s">
        <v>459</v>
      </c>
      <c r="S21" s="66" t="s">
        <v>324</v>
      </c>
      <c r="T21" s="66"/>
      <c r="U21" s="66"/>
      <c r="V21" s="66"/>
      <c r="W21" s="66" t="s">
        <v>418</v>
      </c>
      <c r="X21" s="66" t="s">
        <v>441</v>
      </c>
      <c r="Y21" s="75"/>
      <c r="Z21" s="67" t="s">
        <v>282</v>
      </c>
      <c r="AA21" s="66" t="s">
        <v>387</v>
      </c>
      <c r="AB21" s="66" t="s">
        <v>360</v>
      </c>
      <c r="AC21" s="66" t="s">
        <v>248</v>
      </c>
      <c r="AD21" s="66" t="s">
        <v>451</v>
      </c>
      <c r="AE21" s="66" t="s">
        <v>415</v>
      </c>
      <c r="AF21" s="66"/>
      <c r="AG21" s="75"/>
      <c r="AH21" s="128"/>
      <c r="AI21" s="297"/>
      <c r="AJ21" s="305"/>
      <c r="AK21" s="297" t="s">
        <v>120</v>
      </c>
      <c r="AL21" s="298"/>
      <c r="AM21" s="103" t="s">
        <v>121</v>
      </c>
      <c r="AN21" s="104" t="s">
        <v>122</v>
      </c>
      <c r="AP21">
        <v>20</v>
      </c>
      <c r="AQ21" s="62" t="s">
        <v>159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>
        <v>5</v>
      </c>
      <c r="BE21" s="61"/>
      <c r="BF21" s="61"/>
      <c r="BG21" s="61">
        <v>10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>
        <v>93.5</v>
      </c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299">
        <v>31</v>
      </c>
      <c r="AJ22" s="300"/>
      <c r="AK22" s="293">
        <v>32</v>
      </c>
      <c r="AL22" s="293"/>
      <c r="AM22" s="106">
        <v>33</v>
      </c>
      <c r="AN22" s="107">
        <v>34</v>
      </c>
      <c r="AP22">
        <v>21</v>
      </c>
      <c r="AQ22" s="62" t="s">
        <v>160</v>
      </c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>
        <v>5</v>
      </c>
      <c r="BE22" s="61"/>
      <c r="BF22" s="61"/>
      <c r="BG22" s="61">
        <v>10</v>
      </c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/>
      <c r="CP22" s="61"/>
      <c r="CQ22" s="61"/>
      <c r="CR22" s="61">
        <v>5</v>
      </c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>
        <v>72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82</v>
      </c>
      <c r="B23" s="294"/>
      <c r="C23" s="294"/>
      <c r="D23" s="294"/>
      <c r="E23" s="294"/>
      <c r="F23" s="65" t="s">
        <v>1</v>
      </c>
      <c r="G23" s="88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69">
        <v>18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v>13</v>
      </c>
      <c r="X23" s="20">
        <f>W23</f>
        <v>13</v>
      </c>
      <c r="Y23" s="69">
        <f>X23</f>
        <v>13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69">
        <f t="shared" si="1"/>
        <v>13</v>
      </c>
      <c r="AH23" s="3"/>
      <c r="AI23" s="129"/>
      <c r="AJ23" s="129"/>
      <c r="AK23" s="122"/>
      <c r="AL23" s="122"/>
      <c r="AM23" s="2"/>
      <c r="AN23" s="3"/>
      <c r="AP23">
        <v>22</v>
      </c>
      <c r="AQ23" s="62" t="s">
        <v>161</v>
      </c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>
        <v>7.5</v>
      </c>
      <c r="BE23" s="61"/>
      <c r="BF23" s="61"/>
      <c r="BG23" s="61">
        <v>12.5</v>
      </c>
      <c r="BH23" s="61"/>
      <c r="BI23" s="61"/>
      <c r="BJ23" s="61">
        <v>0.2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>
        <v>7.8</v>
      </c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>
        <v>103.5</v>
      </c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83</v>
      </c>
      <c r="B24" s="295"/>
      <c r="C24" s="295"/>
      <c r="D24" s="295"/>
      <c r="E24" s="296"/>
      <c r="F24" s="64" t="s">
        <v>1</v>
      </c>
      <c r="G24" s="89">
        <f>IF(завтрак1="хліб житній",DS2,(IF(завтрак1="хліб пшеничний",DR2,(VLOOKUP(завтрак1,таб,67,FALSE)))))</f>
        <v>100</v>
      </c>
      <c r="H24" s="41">
        <f>IF(завтрак2="хліб житній",DS2,(IF(завтрак2="хліб пшеничний",DR2,(VLOOKUP(завтрак2,таб,67,FALSE)))))</f>
        <v>120</v>
      </c>
      <c r="I24" s="41">
        <f>IF(завтрак3="хліб житній",DS2,(IF(завтрак3="хліб пшеничний",DR2,(VLOOKUP(завтрак3,таб,67,FALSE)))))</f>
        <v>120</v>
      </c>
      <c r="J24" s="41">
        <v>200</v>
      </c>
      <c r="K24" s="41">
        <v>100</v>
      </c>
      <c r="L24" s="41">
        <v>1</v>
      </c>
      <c r="M24" s="41">
        <f>IF(завтрак7="хліб житній",DS2,(IF(завтрак7="хліб пшеничний",DR2,(VLOOKUP(завтрак7,таб,67,FALSE)))))</f>
        <v>0</v>
      </c>
      <c r="N24" s="70">
        <v>50</v>
      </c>
      <c r="O24" s="102">
        <v>100</v>
      </c>
      <c r="P24" s="40">
        <f>IF(обед2="хліб житній",DU2,(IF(обед2="хліб пшеничний",DT2,(VLOOKUP(обед2,таб,67,FALSE)))))</f>
        <v>250</v>
      </c>
      <c r="Q24" s="40">
        <f>IF(обед3="хліб житній",DU2,(IF(обед3="хліб пшеничний",DT2,(VLOOKUP(обед3,таб,67,FALSE)))))</f>
        <v>200</v>
      </c>
      <c r="R24" s="40">
        <v>50</v>
      </c>
      <c r="S24" s="40">
        <v>150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120</v>
      </c>
      <c r="X24" s="40">
        <f>VLOOKUP(полдник2,таб,67,FALSE)</f>
        <v>125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75</v>
      </c>
      <c r="AA24" s="40">
        <f>IF(ужин2="хліб житній",DW2,(IF(ужин2="хліб пшеничний",DV2,(VLOOKUP(ужин2,таб,67,FALSE)))))</f>
        <v>85</v>
      </c>
      <c r="AB24" s="40">
        <f>IF(ужин3="хліб житній",DW2,(IF(ужин3="хліб пшеничний",DV2,(VLOOKUP(ужин3,таб,67,FALSE)))))</f>
        <v>150</v>
      </c>
      <c r="AC24" s="40">
        <v>200</v>
      </c>
      <c r="AD24" s="40">
        <v>15</v>
      </c>
      <c r="AE24" s="40">
        <f>IF(ужин6="хліб житній",DW2,(IF(ужин6="хліб пшеничний",DV2,(VLOOKUP(ужин6,таб,67,FALSE)))))</f>
        <v>50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2"/>
      <c r="AJ24" s="202"/>
      <c r="AK24" s="122"/>
      <c r="AL24" s="122"/>
      <c r="AM24" s="2"/>
      <c r="AN24" s="3"/>
      <c r="AP24">
        <v>23</v>
      </c>
      <c r="AQ24" s="62" t="s">
        <v>163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15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>
        <v>1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>
        <v>25</v>
      </c>
      <c r="CI24" s="61"/>
      <c r="CJ24" s="61">
        <v>75.4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>
        <v>100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76" t="s">
        <v>8</v>
      </c>
      <c r="B25" s="176"/>
      <c r="C25" s="176"/>
      <c r="D25" s="176"/>
      <c r="E25" s="177"/>
      <c r="F25" s="82" t="s">
        <v>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/>
      <c r="M25" s="28">
        <f>VLOOKUP(завтрак7,таб,2,FALSE)</f>
        <v>0</v>
      </c>
      <c r="N25" s="71"/>
      <c r="O25" s="30"/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/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8">
        <v>610001</v>
      </c>
      <c r="AI25" s="166">
        <f>AK25/сред</f>
        <v>0</v>
      </c>
      <c r="AJ25" s="167"/>
      <c r="AK25" s="154">
        <f>SUM(G26:AG26)</f>
        <v>0</v>
      </c>
      <c r="AL25" s="155"/>
      <c r="AM25" s="317">
        <f>IF(AK25=0,0,AR117)</f>
        <v>0</v>
      </c>
      <c r="AN25" s="315">
        <f>AK25*AM25</f>
        <v>0</v>
      </c>
      <c r="AP25">
        <v>24</v>
      </c>
      <c r="AQ25" s="61" t="s">
        <v>164</v>
      </c>
      <c r="BC25">
        <v>5</v>
      </c>
      <c r="CF25">
        <v>30</v>
      </c>
      <c r="CK25">
        <v>43</v>
      </c>
      <c r="CO25">
        <v>54</v>
      </c>
      <c r="DE25" s="61">
        <v>100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76"/>
      <c r="B26" s="176"/>
      <c r="C26" s="176"/>
      <c r="D26" s="176"/>
      <c r="E26" s="177"/>
      <c r="F26" s="83" t="s">
        <v>100</v>
      </c>
      <c r="G26" s="91">
        <f aca="true" t="shared" si="2" ref="G26:M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/>
      <c r="M26" s="46">
        <f t="shared" si="2"/>
      </c>
      <c r="N26" s="72"/>
      <c r="O26" s="48"/>
      <c r="P26" s="46">
        <f aca="true" t="shared" si="3" ref="P26:V26">IF(P25=0,"",обідл*P25/1000)</f>
      </c>
      <c r="Q26" s="47">
        <f t="shared" si="3"/>
      </c>
      <c r="R26" s="46"/>
      <c r="S26" s="47">
        <f t="shared" si="3"/>
      </c>
      <c r="T26" s="46">
        <f t="shared" si="3"/>
      </c>
      <c r="U26" s="47">
        <f t="shared" si="3"/>
      </c>
      <c r="V26" s="46">
        <f t="shared" si="3"/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/>
      <c r="AE26" s="47">
        <f t="shared" si="4"/>
      </c>
      <c r="AF26" s="46">
        <f t="shared" si="4"/>
      </c>
      <c r="AG26" s="72">
        <f t="shared" si="4"/>
      </c>
      <c r="AH26" s="169"/>
      <c r="AI26" s="166"/>
      <c r="AJ26" s="167"/>
      <c r="AK26" s="156"/>
      <c r="AL26" s="157"/>
      <c r="AM26" s="318"/>
      <c r="AN26" s="316"/>
      <c r="AP26">
        <v>25</v>
      </c>
      <c r="AQ26" s="62" t="s">
        <v>165</v>
      </c>
      <c r="AR26" s="61"/>
      <c r="AS26" s="61"/>
      <c r="AT26" s="61"/>
      <c r="AU26" s="61"/>
      <c r="AV26" s="61"/>
      <c r="AW26" s="61">
        <v>56</v>
      </c>
      <c r="AX26" s="61"/>
      <c r="AY26" s="61"/>
      <c r="AZ26" s="61"/>
      <c r="BA26" s="61"/>
      <c r="BB26" s="61"/>
      <c r="BC26" s="61">
        <v>5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>
        <v>25</v>
      </c>
      <c r="CG26" s="61">
        <v>41.2</v>
      </c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76" t="s">
        <v>3</v>
      </c>
      <c r="B27" s="176"/>
      <c r="C27" s="176"/>
      <c r="D27" s="176"/>
      <c r="E27" s="177"/>
      <c r="F27" s="82" t="s">
        <v>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/>
      <c r="M27" s="28">
        <f>VLOOKUP(завтрак7,таб,3,FALSE)</f>
        <v>0</v>
      </c>
      <c r="N27" s="71"/>
      <c r="O27" s="30"/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/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8">
        <v>610002</v>
      </c>
      <c r="AI27" s="166">
        <f>AK27/сред</f>
        <v>0</v>
      </c>
      <c r="AJ27" s="167"/>
      <c r="AK27" s="154">
        <f>SUM(G28:AG28)</f>
        <v>0</v>
      </c>
      <c r="AL27" s="155"/>
      <c r="AM27" s="317">
        <f>IF(AK27=0,0,AS117)</f>
        <v>0</v>
      </c>
      <c r="AN27" s="315">
        <f>AK27*AM27</f>
        <v>0</v>
      </c>
      <c r="AP27">
        <v>26</v>
      </c>
      <c r="AQ27" s="61" t="s">
        <v>167</v>
      </c>
      <c r="BC27">
        <v>3.5</v>
      </c>
      <c r="CJ27">
        <v>16.3</v>
      </c>
      <c r="CL27">
        <v>26.8</v>
      </c>
      <c r="DE27" s="61">
        <v>100</v>
      </c>
      <c r="DG27">
        <v>6.8</v>
      </c>
      <c r="DK27">
        <v>20.4</v>
      </c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76"/>
      <c r="B28" s="176"/>
      <c r="C28" s="176"/>
      <c r="D28" s="176"/>
      <c r="E28" s="177"/>
      <c r="F28" s="83" t="s">
        <v>100</v>
      </c>
      <c r="G28" s="91">
        <f aca="true" t="shared" si="5" ref="G28:M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/>
      <c r="M28" s="46">
        <f t="shared" si="5"/>
      </c>
      <c r="N28" s="72"/>
      <c r="O28" s="48"/>
      <c r="P28" s="46">
        <f aca="true" t="shared" si="6" ref="P28:V28">IF(P27=0,"",обідл*P27/1000)</f>
      </c>
      <c r="Q28" s="47">
        <f t="shared" si="6"/>
      </c>
      <c r="R28" s="46"/>
      <c r="S28" s="47">
        <f t="shared" si="6"/>
      </c>
      <c r="T28" s="46">
        <f t="shared" si="6"/>
      </c>
      <c r="U28" s="47">
        <f t="shared" si="6"/>
      </c>
      <c r="V28" s="46">
        <f t="shared" si="6"/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/>
      <c r="AE28" s="47">
        <f t="shared" si="7"/>
      </c>
      <c r="AF28" s="46">
        <f t="shared" si="7"/>
      </c>
      <c r="AG28" s="72">
        <f t="shared" si="7"/>
      </c>
      <c r="AH28" s="169"/>
      <c r="AI28" s="166"/>
      <c r="AJ28" s="167"/>
      <c r="AK28" s="156"/>
      <c r="AL28" s="157"/>
      <c r="AM28" s="318"/>
      <c r="AN28" s="316"/>
      <c r="AP28">
        <v>27</v>
      </c>
      <c r="AQ28" s="62" t="s">
        <v>168</v>
      </c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>
        <v>2.5</v>
      </c>
      <c r="BD28" s="61"/>
      <c r="BE28" s="61"/>
      <c r="BF28" s="61"/>
      <c r="BG28" s="61">
        <v>12</v>
      </c>
      <c r="BH28" s="61"/>
      <c r="BI28" s="61">
        <v>12</v>
      </c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90.4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78" t="s">
        <v>9</v>
      </c>
      <c r="B29" s="178"/>
      <c r="C29" s="178"/>
      <c r="D29" s="178"/>
      <c r="E29" s="179"/>
      <c r="F29" s="82" t="s">
        <v>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/>
      <c r="M29" s="28">
        <f>VLOOKUP(завтрак7,таб,4,FALSE)</f>
        <v>0</v>
      </c>
      <c r="N29" s="71"/>
      <c r="O29" s="30"/>
      <c r="P29" s="28">
        <f>VLOOKUP(обед2,таб,4,FALSE)</f>
        <v>0</v>
      </c>
      <c r="Q29" s="29">
        <v>97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144.5</v>
      </c>
      <c r="AB29" s="28">
        <f>VLOOKUP(ужин3,таб,4,FALSE)</f>
        <v>0</v>
      </c>
      <c r="AC29" s="29">
        <f>VLOOKUP(ужин4,таб,4,FALSE)</f>
        <v>0</v>
      </c>
      <c r="AD29" s="28"/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8">
        <v>610009</v>
      </c>
      <c r="AI29" s="166">
        <f>AK29/сред</f>
        <v>0.22870000000000001</v>
      </c>
      <c r="AJ29" s="167"/>
      <c r="AK29" s="154">
        <f>SUM(G30:AG30)</f>
        <v>3.4305000000000003</v>
      </c>
      <c r="AL29" s="155"/>
      <c r="AM29" s="317">
        <v>98.92</v>
      </c>
      <c r="AN29" s="315">
        <f>AK29*AM29</f>
        <v>339.34506000000005</v>
      </c>
      <c r="AP29">
        <v>28</v>
      </c>
      <c r="AQ29" s="61" t="s">
        <v>169</v>
      </c>
      <c r="BC29">
        <v>4.5</v>
      </c>
      <c r="CO29">
        <v>54.7</v>
      </c>
      <c r="CQ29">
        <v>4</v>
      </c>
      <c r="DE29" s="61">
        <v>100</v>
      </c>
      <c r="DK29">
        <v>23.5</v>
      </c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76"/>
      <c r="B30" s="176"/>
      <c r="C30" s="176"/>
      <c r="D30" s="176"/>
      <c r="E30" s="177"/>
      <c r="F30" s="83" t="s">
        <v>100</v>
      </c>
      <c r="G30" s="91">
        <f aca="true" t="shared" si="8" ref="G30:M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/>
      <c r="M30" s="46">
        <f t="shared" si="8"/>
      </c>
      <c r="N30" s="72"/>
      <c r="O30" s="48"/>
      <c r="P30" s="46">
        <f aca="true" t="shared" si="9" ref="P30:V30">IF(P29=0,"",обідл*P29/1000)</f>
      </c>
      <c r="Q30" s="47">
        <f t="shared" si="9"/>
        <v>1.552</v>
      </c>
      <c r="R30" s="46"/>
      <c r="S30" s="47">
        <f t="shared" si="9"/>
      </c>
      <c r="T30" s="46">
        <f t="shared" si="9"/>
      </c>
      <c r="U30" s="47">
        <f t="shared" si="9"/>
      </c>
      <c r="V30" s="46">
        <f t="shared" si="9"/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  <v>1.8785</v>
      </c>
      <c r="AB30" s="46">
        <f t="shared" si="10"/>
      </c>
      <c r="AC30" s="47">
        <f t="shared" si="10"/>
      </c>
      <c r="AD30" s="46"/>
      <c r="AE30" s="47">
        <f t="shared" si="10"/>
      </c>
      <c r="AF30" s="46">
        <f t="shared" si="10"/>
      </c>
      <c r="AG30" s="72">
        <f t="shared" si="10"/>
      </c>
      <c r="AH30" s="169"/>
      <c r="AI30" s="166"/>
      <c r="AJ30" s="167"/>
      <c r="AK30" s="156"/>
      <c r="AL30" s="157"/>
      <c r="AM30" s="318"/>
      <c r="AN30" s="316"/>
      <c r="AP30">
        <v>29</v>
      </c>
      <c r="AQ30" s="62" t="s">
        <v>170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>
        <v>7.3</v>
      </c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>
        <v>18.7</v>
      </c>
      <c r="CI30" s="61">
        <v>14.8</v>
      </c>
      <c r="CJ30" s="61">
        <v>11.1</v>
      </c>
      <c r="CK30" s="61"/>
      <c r="CL30" s="61"/>
      <c r="CM30" s="61"/>
      <c r="CN30" s="61"/>
      <c r="CO30" s="61"/>
      <c r="CP30" s="61"/>
      <c r="CQ30" s="61"/>
      <c r="CR30" s="61"/>
      <c r="CS30" s="61"/>
      <c r="CT30" s="61">
        <v>17.8</v>
      </c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250</v>
      </c>
      <c r="DF30" s="61"/>
      <c r="DG30" s="61"/>
      <c r="DH30" s="61"/>
      <c r="DI30" s="61"/>
      <c r="DJ30" s="61">
        <v>17.8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76" t="s">
        <v>113</v>
      </c>
      <c r="B31" s="176"/>
      <c r="C31" s="176"/>
      <c r="D31" s="176"/>
      <c r="E31" s="177"/>
      <c r="F31" s="82" t="s">
        <v>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/>
      <c r="M31" s="28">
        <f>VLOOKUP(завтрак7,таб,5,FALSE)</f>
        <v>0</v>
      </c>
      <c r="N31" s="71"/>
      <c r="O31" s="30"/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/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8">
        <v>610024</v>
      </c>
      <c r="AI31" s="166">
        <f>AK31/сред</f>
        <v>0</v>
      </c>
      <c r="AJ31" s="167"/>
      <c r="AK31" s="154">
        <f>SUM(G32:AG32)</f>
        <v>0</v>
      </c>
      <c r="AL31" s="155"/>
      <c r="AM31" s="317">
        <f>IF(AK31=0,0,AU117)</f>
        <v>0</v>
      </c>
      <c r="AN31" s="315">
        <f>AK31*AM31</f>
        <v>0</v>
      </c>
      <c r="AP31">
        <v>30</v>
      </c>
      <c r="AQ31" s="62" t="s">
        <v>171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>
        <v>15.5</v>
      </c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>
        <v>125</v>
      </c>
      <c r="CH31" s="61"/>
      <c r="CI31" s="61">
        <v>6.2</v>
      </c>
      <c r="CJ31" s="61">
        <v>31.3</v>
      </c>
      <c r="CK31" s="61"/>
      <c r="CL31" s="61"/>
      <c r="CM31" s="61"/>
      <c r="CN31" s="61">
        <v>8.8</v>
      </c>
      <c r="CO31" s="61"/>
      <c r="CP31" s="61"/>
      <c r="CQ31" s="61"/>
      <c r="CR31" s="61"/>
      <c r="CS31" s="61"/>
      <c r="CT31" s="61">
        <v>10.8</v>
      </c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250</v>
      </c>
      <c r="DF31" s="61"/>
      <c r="DG31" s="61"/>
      <c r="DH31" s="61"/>
      <c r="DI31" s="61"/>
      <c r="DJ31" s="61"/>
      <c r="DK31" s="61"/>
      <c r="DL31" s="61"/>
      <c r="DM31" s="61"/>
      <c r="DN31" s="61">
        <v>10</v>
      </c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76"/>
      <c r="B32" s="176"/>
      <c r="C32" s="176"/>
      <c r="D32" s="176"/>
      <c r="E32" s="177"/>
      <c r="F32" s="83" t="s">
        <v>100</v>
      </c>
      <c r="G32" s="91">
        <f aca="true" t="shared" si="11" ref="G32:M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/>
      <c r="M32" s="46">
        <f t="shared" si="11"/>
      </c>
      <c r="N32" s="72"/>
      <c r="O32" s="48"/>
      <c r="P32" s="46">
        <f aca="true" t="shared" si="12" ref="P32:V32">IF(P31=0,"",обідл*P31/1000)</f>
      </c>
      <c r="Q32" s="47">
        <f t="shared" si="12"/>
      </c>
      <c r="R32" s="46"/>
      <c r="S32" s="47">
        <f t="shared" si="12"/>
      </c>
      <c r="T32" s="46">
        <f t="shared" si="12"/>
      </c>
      <c r="U32" s="47">
        <f t="shared" si="12"/>
      </c>
      <c r="V32" s="46">
        <f t="shared" si="12"/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/>
      <c r="AE32" s="47">
        <f t="shared" si="13"/>
      </c>
      <c r="AF32" s="46">
        <f t="shared" si="13"/>
      </c>
      <c r="AG32" s="72">
        <f t="shared" si="13"/>
      </c>
      <c r="AH32" s="169"/>
      <c r="AI32" s="166"/>
      <c r="AJ32" s="167"/>
      <c r="AK32" s="156"/>
      <c r="AL32" s="157"/>
      <c r="AM32" s="318"/>
      <c r="AN32" s="316"/>
      <c r="AP32">
        <v>31</v>
      </c>
      <c r="AQ32" s="62" t="s">
        <v>337</v>
      </c>
      <c r="AR32" s="61"/>
      <c r="AS32" s="61"/>
      <c r="AT32" s="61"/>
      <c r="AU32" s="61"/>
      <c r="AV32" s="61"/>
      <c r="AW32" s="61"/>
      <c r="AX32" s="61"/>
      <c r="AY32" s="61"/>
      <c r="AZ32" s="61">
        <v>5</v>
      </c>
      <c r="BA32" s="61"/>
      <c r="BB32" s="61"/>
      <c r="BC32" s="61"/>
      <c r="BD32" s="61"/>
      <c r="BE32" s="61"/>
      <c r="BF32" s="61"/>
      <c r="BG32" s="61"/>
      <c r="BH32" s="61"/>
      <c r="BI32" s="61"/>
      <c r="BJ32" s="61">
        <v>0.1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>
        <v>18.8</v>
      </c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>
        <v>125</v>
      </c>
      <c r="CH32" s="61"/>
      <c r="CI32" s="61">
        <v>7.5</v>
      </c>
      <c r="CJ32" s="61">
        <v>30</v>
      </c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>
        <v>0.3</v>
      </c>
      <c r="DD32" s="61"/>
      <c r="DE32" s="61">
        <v>250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76" t="s">
        <v>10</v>
      </c>
      <c r="B33" s="176"/>
      <c r="C33" s="176"/>
      <c r="D33" s="176"/>
      <c r="E33" s="177"/>
      <c r="F33" s="82" t="s">
        <v>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/>
      <c r="M33" s="28">
        <f>VLOOKUP(завтрак7,таб,6,FALSE)</f>
        <v>0</v>
      </c>
      <c r="N33" s="71"/>
      <c r="O33" s="30"/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/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8">
        <v>610036</v>
      </c>
      <c r="AI33" s="166">
        <f>AK33/сред</f>
        <v>0</v>
      </c>
      <c r="AJ33" s="167"/>
      <c r="AK33" s="154">
        <f>SUM(G34:AG34)</f>
        <v>0</v>
      </c>
      <c r="AL33" s="155"/>
      <c r="AM33" s="317">
        <f>IF(AK33=0,0,AV117)</f>
        <v>0</v>
      </c>
      <c r="AN33" s="315">
        <f>AK33*AM33</f>
        <v>0</v>
      </c>
      <c r="AP33">
        <v>32</v>
      </c>
      <c r="AQ33" s="62" t="s">
        <v>172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>
        <v>1.5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>
        <v>68.7</v>
      </c>
      <c r="CH33" s="61"/>
      <c r="CI33" s="61">
        <v>12</v>
      </c>
      <c r="CJ33" s="61">
        <v>12.8</v>
      </c>
      <c r="CK33" s="61"/>
      <c r="CL33" s="61"/>
      <c r="CM33" s="61">
        <v>11.5</v>
      </c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250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76"/>
      <c r="B34" s="176"/>
      <c r="C34" s="176"/>
      <c r="D34" s="176"/>
      <c r="E34" s="177"/>
      <c r="F34" s="83" t="s">
        <v>100</v>
      </c>
      <c r="G34" s="91">
        <f aca="true" t="shared" si="14" ref="G34:M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/>
      <c r="M34" s="46">
        <f t="shared" si="14"/>
      </c>
      <c r="N34" s="72"/>
      <c r="O34" s="48"/>
      <c r="P34" s="46">
        <f aca="true" t="shared" si="15" ref="P34:V34">IF(P33=0,"",обідл*P33/1000)</f>
      </c>
      <c r="Q34" s="47">
        <f t="shared" si="15"/>
      </c>
      <c r="R34" s="46"/>
      <c r="S34" s="47">
        <f t="shared" si="15"/>
      </c>
      <c r="T34" s="46">
        <f t="shared" si="15"/>
      </c>
      <c r="U34" s="47">
        <f t="shared" si="15"/>
      </c>
      <c r="V34" s="46">
        <f t="shared" si="15"/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/>
      <c r="AE34" s="47">
        <f t="shared" si="16"/>
      </c>
      <c r="AF34" s="46">
        <f t="shared" si="16"/>
      </c>
      <c r="AG34" s="72">
        <f t="shared" si="16"/>
      </c>
      <c r="AH34" s="169"/>
      <c r="AI34" s="166"/>
      <c r="AJ34" s="167"/>
      <c r="AK34" s="156"/>
      <c r="AL34" s="157"/>
      <c r="AM34" s="318"/>
      <c r="AN34" s="316"/>
      <c r="AP34">
        <v>33</v>
      </c>
      <c r="AQ34" s="62" t="s">
        <v>173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>
        <v>2.5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>
        <v>68.7</v>
      </c>
      <c r="CH34" s="61">
        <v>25</v>
      </c>
      <c r="CI34" s="61">
        <v>12</v>
      </c>
      <c r="CJ34" s="61">
        <v>12.8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>
        <v>250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76" t="s">
        <v>4</v>
      </c>
      <c r="B35" s="176"/>
      <c r="C35" s="176"/>
      <c r="D35" s="176"/>
      <c r="E35" s="177"/>
      <c r="F35" s="82" t="s">
        <v>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/>
      <c r="M35" s="28">
        <f>VLOOKUP(завтрак7,таб,7,FALSE)</f>
        <v>0</v>
      </c>
      <c r="N35" s="71"/>
      <c r="O35" s="30"/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/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8">
        <v>610052</v>
      </c>
      <c r="AI35" s="166">
        <f>AK35/сред</f>
        <v>0</v>
      </c>
      <c r="AJ35" s="167"/>
      <c r="AK35" s="154">
        <f>SUM(G36:AG36)</f>
        <v>0</v>
      </c>
      <c r="AL35" s="155"/>
      <c r="AM35" s="317">
        <f>IF(AK35=0,0,AW117)</f>
        <v>0</v>
      </c>
      <c r="AN35" s="315">
        <f>AK35*AM35</f>
        <v>0</v>
      </c>
      <c r="AP35">
        <v>34</v>
      </c>
      <c r="AQ35" s="62" t="s">
        <v>174</v>
      </c>
      <c r="AR35" s="61"/>
      <c r="AS35" s="61"/>
      <c r="AT35" s="61"/>
      <c r="AU35" s="61"/>
      <c r="AV35" s="61"/>
      <c r="AW35" s="61"/>
      <c r="AX35" s="61">
        <v>44.5</v>
      </c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>
        <v>71.3</v>
      </c>
      <c r="CH35" s="61"/>
      <c r="CI35" s="61">
        <v>27.5</v>
      </c>
      <c r="CJ35" s="61">
        <v>10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>
        <v>250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76"/>
      <c r="B36" s="176"/>
      <c r="C36" s="176"/>
      <c r="D36" s="176"/>
      <c r="E36" s="177"/>
      <c r="F36" s="83" t="s">
        <v>100</v>
      </c>
      <c r="G36" s="91">
        <f aca="true" t="shared" si="17" ref="G36:M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/>
      <c r="M36" s="46">
        <f t="shared" si="17"/>
      </c>
      <c r="N36" s="72"/>
      <c r="O36" s="48"/>
      <c r="P36" s="46">
        <f aca="true" t="shared" si="18" ref="P36:V36">IF(P35=0,"",обідл*P35/1000)</f>
      </c>
      <c r="Q36" s="47">
        <f t="shared" si="18"/>
      </c>
      <c r="R36" s="46"/>
      <c r="S36" s="47">
        <f t="shared" si="18"/>
      </c>
      <c r="T36" s="46">
        <f t="shared" si="18"/>
      </c>
      <c r="U36" s="47">
        <f t="shared" si="18"/>
      </c>
      <c r="V36" s="46">
        <f t="shared" si="18"/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/>
      <c r="AE36" s="47">
        <f t="shared" si="19"/>
      </c>
      <c r="AF36" s="46">
        <f t="shared" si="19"/>
      </c>
      <c r="AG36" s="72">
        <f t="shared" si="19"/>
      </c>
      <c r="AH36" s="169"/>
      <c r="AI36" s="166"/>
      <c r="AJ36" s="167"/>
      <c r="AK36" s="156"/>
      <c r="AL36" s="157"/>
      <c r="AM36" s="318"/>
      <c r="AN36" s="316"/>
      <c r="AP36">
        <v>35</v>
      </c>
      <c r="AQ36" s="62" t="s">
        <v>175</v>
      </c>
      <c r="AR36" s="61"/>
      <c r="AS36" s="61"/>
      <c r="AT36" s="61"/>
      <c r="AU36" s="61"/>
      <c r="AV36" s="61"/>
      <c r="AW36" s="61"/>
      <c r="AX36" s="61"/>
      <c r="AY36" s="61"/>
      <c r="AZ36" s="61">
        <v>0.5</v>
      </c>
      <c r="BA36" s="61"/>
      <c r="BB36" s="61"/>
      <c r="BC36" s="61"/>
      <c r="BD36" s="61">
        <v>28.5</v>
      </c>
      <c r="BE36" s="61"/>
      <c r="BF36" s="61"/>
      <c r="BG36" s="61"/>
      <c r="BH36" s="61"/>
      <c r="BI36" s="61"/>
      <c r="BJ36" s="61"/>
      <c r="BK36" s="61"/>
      <c r="BL36" s="61">
        <v>1.6</v>
      </c>
      <c r="BM36" s="61"/>
      <c r="BN36" s="61"/>
      <c r="BO36" s="61"/>
      <c r="BP36" s="61"/>
      <c r="BQ36" s="61"/>
      <c r="BR36" s="61"/>
      <c r="BS36" s="61"/>
      <c r="BT36" s="61"/>
      <c r="BU36" s="61"/>
      <c r="BV36" s="61">
        <v>5</v>
      </c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>
        <v>71.3</v>
      </c>
      <c r="CH36" s="61"/>
      <c r="CI36" s="61"/>
      <c r="CJ36" s="61">
        <v>133.5</v>
      </c>
      <c r="CK36" s="61"/>
      <c r="CL36" s="61"/>
      <c r="CM36" s="61"/>
      <c r="CN36" s="61"/>
      <c r="CO36" s="61"/>
      <c r="CP36" s="61">
        <v>0.8</v>
      </c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>
        <v>250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76" t="s">
        <v>12</v>
      </c>
      <c r="B37" s="176"/>
      <c r="C37" s="176"/>
      <c r="D37" s="176"/>
      <c r="E37" s="177"/>
      <c r="F37" s="82" t="s">
        <v>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/>
      <c r="M37" s="28">
        <f>VLOOKUP(завтрак7,таб,8,FALSE)</f>
        <v>0</v>
      </c>
      <c r="N37" s="71"/>
      <c r="O37" s="30"/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/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8">
        <v>611008</v>
      </c>
      <c r="AI37" s="166">
        <f>AK37/сред</f>
        <v>0</v>
      </c>
      <c r="AJ37" s="167"/>
      <c r="AK37" s="154">
        <f>SUM(G38:AG38)</f>
        <v>0</v>
      </c>
      <c r="AL37" s="155"/>
      <c r="AM37" s="317">
        <f>IF(AK37=0,0,AX117)</f>
        <v>0</v>
      </c>
      <c r="AN37" s="315">
        <f>AK37*AM37</f>
        <v>0</v>
      </c>
      <c r="AP37">
        <v>36</v>
      </c>
      <c r="AQ37" s="62" t="s">
        <v>176</v>
      </c>
      <c r="AR37" s="61"/>
      <c r="AS37" s="61"/>
      <c r="AT37" s="61"/>
      <c r="AU37" s="61"/>
      <c r="AV37" s="61"/>
      <c r="AW37" s="61"/>
      <c r="AX37" s="61"/>
      <c r="AY37" s="61"/>
      <c r="AZ37" s="61">
        <v>0.5</v>
      </c>
      <c r="BA37" s="61"/>
      <c r="BB37" s="61"/>
      <c r="BC37" s="61"/>
      <c r="BD37" s="61">
        <v>28.5</v>
      </c>
      <c r="BE37" s="61"/>
      <c r="BF37" s="61"/>
      <c r="BG37" s="61"/>
      <c r="BH37" s="61"/>
      <c r="BI37" s="61"/>
      <c r="BJ37" s="61"/>
      <c r="BK37" s="61"/>
      <c r="BL37" s="61">
        <v>1.6</v>
      </c>
      <c r="BM37" s="61"/>
      <c r="BN37" s="61"/>
      <c r="BO37" s="61"/>
      <c r="BP37" s="61"/>
      <c r="BQ37" s="61"/>
      <c r="BR37" s="61"/>
      <c r="BS37" s="61"/>
      <c r="BT37" s="61"/>
      <c r="BU37" s="61"/>
      <c r="BV37" s="61">
        <v>5</v>
      </c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>
        <v>143</v>
      </c>
      <c r="CH37" s="61"/>
      <c r="CI37" s="61">
        <v>31.3</v>
      </c>
      <c r="CJ37" s="61">
        <v>45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>
        <v>250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45" ht="34.5" customHeight="1">
      <c r="A38" s="176"/>
      <c r="B38" s="176"/>
      <c r="C38" s="176"/>
      <c r="D38" s="176"/>
      <c r="E38" s="177"/>
      <c r="F38" s="83" t="s">
        <v>100</v>
      </c>
      <c r="G38" s="91">
        <f aca="true" t="shared" si="20" ref="G38:M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/>
      <c r="M38" s="46">
        <f t="shared" si="20"/>
      </c>
      <c r="N38" s="72"/>
      <c r="O38" s="48"/>
      <c r="P38" s="46">
        <f aca="true" t="shared" si="21" ref="P38:V38">IF(P37=0,"",обідл*P37/1000)</f>
      </c>
      <c r="Q38" s="47">
        <f t="shared" si="21"/>
      </c>
      <c r="R38" s="46"/>
      <c r="S38" s="47">
        <f t="shared" si="21"/>
      </c>
      <c r="T38" s="46">
        <f t="shared" si="21"/>
      </c>
      <c r="U38" s="47">
        <f t="shared" si="21"/>
      </c>
      <c r="V38" s="46">
        <f t="shared" si="21"/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/>
      <c r="AE38" s="47">
        <f t="shared" si="22"/>
      </c>
      <c r="AF38" s="46">
        <f t="shared" si="22"/>
      </c>
      <c r="AG38" s="72">
        <f t="shared" si="22"/>
      </c>
      <c r="AH38" s="169"/>
      <c r="AI38" s="166"/>
      <c r="AJ38" s="167"/>
      <c r="AK38" s="156"/>
      <c r="AL38" s="157"/>
      <c r="AM38" s="318"/>
      <c r="AN38" s="316"/>
      <c r="AP38">
        <v>37</v>
      </c>
      <c r="AQ38" s="61" t="s">
        <v>336</v>
      </c>
      <c r="AZ38">
        <v>5</v>
      </c>
      <c r="BR38">
        <v>10</v>
      </c>
      <c r="CG38">
        <v>125</v>
      </c>
      <c r="CI38">
        <v>12</v>
      </c>
      <c r="CM38">
        <v>7.5</v>
      </c>
      <c r="DE38" s="61">
        <v>250</v>
      </c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EO38">
        <v>0.8</v>
      </c>
    </row>
    <row r="39" spans="1:154" ht="34.5" customHeight="1">
      <c r="A39" s="176" t="s">
        <v>114</v>
      </c>
      <c r="B39" s="176"/>
      <c r="C39" s="176"/>
      <c r="D39" s="176"/>
      <c r="E39" s="177"/>
      <c r="F39" s="82" t="s">
        <v>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/>
      <c r="M39" s="28">
        <f>VLOOKUP(завтрак7,таб,9,FALSE)</f>
        <v>0</v>
      </c>
      <c r="N39" s="71"/>
      <c r="O39" s="30"/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/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8">
        <v>611017</v>
      </c>
      <c r="AI39" s="166">
        <f>AK39/сред</f>
        <v>0</v>
      </c>
      <c r="AJ39" s="167"/>
      <c r="AK39" s="154">
        <f>SUM(G40:AG40)</f>
        <v>0</v>
      </c>
      <c r="AL39" s="155"/>
      <c r="AM39" s="317">
        <f>IF(AK39=0,0,AY117)</f>
        <v>0</v>
      </c>
      <c r="AN39" s="315">
        <f>AK39*AM39</f>
        <v>0</v>
      </c>
      <c r="AP39">
        <v>38</v>
      </c>
      <c r="AQ39" s="62" t="s">
        <v>177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>
        <v>5</v>
      </c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>
        <v>3</v>
      </c>
      <c r="BX39" s="61"/>
      <c r="BY39" s="61"/>
      <c r="BZ39" s="61"/>
      <c r="CA39" s="61"/>
      <c r="CB39" s="61"/>
      <c r="CC39" s="61"/>
      <c r="CD39" s="61"/>
      <c r="CE39" s="61"/>
      <c r="CF39" s="61"/>
      <c r="CG39" s="61">
        <v>66.5</v>
      </c>
      <c r="CH39" s="61"/>
      <c r="CI39" s="61">
        <v>12</v>
      </c>
      <c r="CJ39" s="61">
        <v>12.8</v>
      </c>
      <c r="CK39" s="61"/>
      <c r="CL39" s="61"/>
      <c r="CM39" s="61">
        <v>11.5</v>
      </c>
      <c r="CN39" s="61"/>
      <c r="CO39" s="61">
        <v>51</v>
      </c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>
        <v>250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EW39">
        <v>22.5</v>
      </c>
      <c r="EX39">
        <v>0.5</v>
      </c>
    </row>
    <row r="40" spans="1:128" ht="34.5" customHeight="1">
      <c r="A40" s="176"/>
      <c r="B40" s="176"/>
      <c r="C40" s="176"/>
      <c r="D40" s="176"/>
      <c r="E40" s="177"/>
      <c r="F40" s="83" t="s">
        <v>100</v>
      </c>
      <c r="G40" s="91">
        <f aca="true" t="shared" si="23" ref="G40:M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/>
      <c r="M40" s="46">
        <f t="shared" si="23"/>
      </c>
      <c r="N40" s="72"/>
      <c r="O40" s="48"/>
      <c r="P40" s="46">
        <f aca="true" t="shared" si="24" ref="P40:V40">IF(P39=0,"",обідл*P39/1000)</f>
      </c>
      <c r="Q40" s="47">
        <f t="shared" si="24"/>
      </c>
      <c r="R40" s="46"/>
      <c r="S40" s="47">
        <f t="shared" si="24"/>
      </c>
      <c r="T40" s="46">
        <f t="shared" si="24"/>
      </c>
      <c r="U40" s="47">
        <f t="shared" si="24"/>
      </c>
      <c r="V40" s="46">
        <f t="shared" si="24"/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/>
      <c r="AE40" s="47">
        <f t="shared" si="25"/>
      </c>
      <c r="AF40" s="46">
        <f t="shared" si="25"/>
      </c>
      <c r="AG40" s="72">
        <f t="shared" si="25"/>
      </c>
      <c r="AH40" s="169"/>
      <c r="AI40" s="166"/>
      <c r="AJ40" s="167"/>
      <c r="AK40" s="156"/>
      <c r="AL40" s="157"/>
      <c r="AM40" s="318"/>
      <c r="AN40" s="316"/>
      <c r="AP40">
        <v>39</v>
      </c>
      <c r="AQ40" s="62" t="s">
        <v>178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>
        <v>0.1</v>
      </c>
      <c r="BK40" s="61"/>
      <c r="BL40" s="61">
        <v>15.3</v>
      </c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>
        <v>150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>
        <v>77.7</v>
      </c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76" t="s">
        <v>13</v>
      </c>
      <c r="B41" s="176"/>
      <c r="C41" s="176"/>
      <c r="D41" s="176"/>
      <c r="E41" s="177"/>
      <c r="F41" s="82" t="s">
        <v>99</v>
      </c>
      <c r="G41" s="90">
        <f>VLOOKUP(завтрак1,таб,10,FALSE)</f>
        <v>0</v>
      </c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/>
      <c r="M41" s="28">
        <f>VLOOKUP(завтрак7,таб,10,FALSE)</f>
        <v>0</v>
      </c>
      <c r="N41" s="71"/>
      <c r="O41" s="30"/>
      <c r="P41" s="28">
        <f>VLOOKUP(обед2,таб,10,FALSE)</f>
        <v>5</v>
      </c>
      <c r="Q41" s="29">
        <f>VLOOKUP(обед3,таб,10,FALSE)</f>
        <v>4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3.8</v>
      </c>
      <c r="AC41" s="29">
        <f>VLOOKUP(ужин4,таб,10,FALSE)</f>
        <v>0</v>
      </c>
      <c r="AD41" s="28"/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8">
        <v>612001</v>
      </c>
      <c r="AI41" s="166">
        <f>AK41/сред</f>
        <v>0.012893333333333335</v>
      </c>
      <c r="AJ41" s="167"/>
      <c r="AK41" s="154">
        <f>SUM(G42:AG42)</f>
        <v>0.19340000000000002</v>
      </c>
      <c r="AL41" s="155"/>
      <c r="AM41" s="317">
        <v>166.66</v>
      </c>
      <c r="AN41" s="315">
        <f>AK41*AM41</f>
        <v>32.232044</v>
      </c>
      <c r="AP41">
        <v>40</v>
      </c>
      <c r="AQ41" s="61" t="s">
        <v>179</v>
      </c>
      <c r="AZ41">
        <v>3</v>
      </c>
      <c r="BD41">
        <v>46.5</v>
      </c>
      <c r="BT41">
        <v>35.6</v>
      </c>
      <c r="DE41" s="61">
        <v>150</v>
      </c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76"/>
      <c r="B42" s="176"/>
      <c r="C42" s="176"/>
      <c r="D42" s="176"/>
      <c r="E42" s="177"/>
      <c r="F42" s="83" t="s">
        <v>100</v>
      </c>
      <c r="G42" s="91">
        <f aca="true" t="shared" si="26" ref="G42:M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/>
      <c r="M42" s="46">
        <f t="shared" si="26"/>
      </c>
      <c r="N42" s="72"/>
      <c r="O42" s="48"/>
      <c r="P42" s="46">
        <f aca="true" t="shared" si="27" ref="P42:V42">IF(P41=0,"",обідл*P41/1000)</f>
        <v>0.08</v>
      </c>
      <c r="Q42" s="47">
        <f t="shared" si="27"/>
        <v>0.064</v>
      </c>
      <c r="R42" s="46"/>
      <c r="S42" s="47">
        <f t="shared" si="27"/>
      </c>
      <c r="T42" s="46">
        <f t="shared" si="27"/>
      </c>
      <c r="U42" s="47">
        <f t="shared" si="27"/>
      </c>
      <c r="V42" s="46">
        <f t="shared" si="27"/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  <v>0.0494</v>
      </c>
      <c r="AC42" s="47">
        <f t="shared" si="28"/>
      </c>
      <c r="AD42" s="46"/>
      <c r="AE42" s="47">
        <f t="shared" si="28"/>
      </c>
      <c r="AF42" s="46">
        <f t="shared" si="28"/>
      </c>
      <c r="AG42" s="72">
        <f t="shared" si="28"/>
      </c>
      <c r="AH42" s="169"/>
      <c r="AI42" s="166"/>
      <c r="AJ42" s="167"/>
      <c r="AK42" s="156"/>
      <c r="AL42" s="157"/>
      <c r="AM42" s="318"/>
      <c r="AN42" s="316"/>
      <c r="AP42">
        <v>41</v>
      </c>
      <c r="AQ42" s="62" t="s">
        <v>180</v>
      </c>
      <c r="AR42" s="61"/>
      <c r="AS42" s="61"/>
      <c r="AT42" s="61"/>
      <c r="AU42" s="61"/>
      <c r="AV42" s="61"/>
      <c r="AW42" s="61"/>
      <c r="AX42" s="61"/>
      <c r="AY42" s="61"/>
      <c r="AZ42" s="61">
        <v>4</v>
      </c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>
        <v>133.3</v>
      </c>
      <c r="CH42" s="61"/>
      <c r="CI42" s="61"/>
      <c r="CJ42" s="61">
        <v>121.9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76" t="s">
        <v>14</v>
      </c>
      <c r="B43" s="176"/>
      <c r="C43" s="176"/>
      <c r="D43" s="176"/>
      <c r="E43" s="177"/>
      <c r="F43" s="82" t="s">
        <v>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/>
      <c r="M43" s="28">
        <f>VLOOKUP(завтрак7,таб,11,FALSE)</f>
        <v>0</v>
      </c>
      <c r="N43" s="71"/>
      <c r="O43" s="30"/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/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8">
        <v>612002</v>
      </c>
      <c r="AI43" s="166">
        <f>AK43/сред</f>
        <v>0</v>
      </c>
      <c r="AJ43" s="167"/>
      <c r="AK43" s="154">
        <f>SUM(G44:AG44)</f>
        <v>0</v>
      </c>
      <c r="AL43" s="155"/>
      <c r="AM43" s="317">
        <f>IF(AK43=0,0,BA117)</f>
        <v>0</v>
      </c>
      <c r="AN43" s="315">
        <f>AK43*AM43</f>
        <v>0</v>
      </c>
      <c r="AP43">
        <v>42</v>
      </c>
      <c r="AQ43" s="62" t="s">
        <v>181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>
        <v>0.2</v>
      </c>
      <c r="BK43" s="61"/>
      <c r="BL43" s="61">
        <v>61.2</v>
      </c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>
        <v>154.6</v>
      </c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76"/>
      <c r="B44" s="176"/>
      <c r="C44" s="176"/>
      <c r="D44" s="176"/>
      <c r="E44" s="177"/>
      <c r="F44" s="83" t="s">
        <v>100</v>
      </c>
      <c r="G44" s="91">
        <f aca="true" t="shared" si="29" ref="G44:M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/>
      <c r="M44" s="46">
        <f t="shared" si="29"/>
      </c>
      <c r="N44" s="72"/>
      <c r="O44" s="48"/>
      <c r="P44" s="46">
        <f aca="true" t="shared" si="30" ref="P44:V44">IF(P43=0,"",обідл*P43/1000)</f>
      </c>
      <c r="Q44" s="47">
        <f t="shared" si="30"/>
      </c>
      <c r="R44" s="46"/>
      <c r="S44" s="47">
        <f t="shared" si="30"/>
      </c>
      <c r="T44" s="46">
        <f t="shared" si="30"/>
      </c>
      <c r="U44" s="47">
        <f t="shared" si="30"/>
      </c>
      <c r="V44" s="46">
        <f t="shared" si="30"/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/>
      <c r="AE44" s="47">
        <f t="shared" si="31"/>
      </c>
      <c r="AF44" s="46">
        <f t="shared" si="31"/>
      </c>
      <c r="AG44" s="72">
        <f t="shared" si="31"/>
      </c>
      <c r="AH44" s="169"/>
      <c r="AI44" s="166"/>
      <c r="AJ44" s="167"/>
      <c r="AK44" s="156"/>
      <c r="AL44" s="157"/>
      <c r="AM44" s="318"/>
      <c r="AN44" s="316"/>
      <c r="AP44">
        <v>43</v>
      </c>
      <c r="AQ44" s="62" t="s">
        <v>182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>
        <v>263.9</v>
      </c>
      <c r="CH44" s="61"/>
      <c r="CI44" s="61"/>
      <c r="CJ44" s="61"/>
      <c r="CK44" s="61"/>
      <c r="CL44" s="61"/>
      <c r="CM44" s="61"/>
      <c r="CN44" s="61"/>
      <c r="CO44" s="61">
        <v>92.5</v>
      </c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>
        <v>200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76" t="s">
        <v>5</v>
      </c>
      <c r="B45" s="176"/>
      <c r="C45" s="176"/>
      <c r="D45" s="176"/>
      <c r="E45" s="177"/>
      <c r="F45" s="82" t="s">
        <v>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/>
      <c r="M45" s="28">
        <f>VLOOKUP(завтрак7,таб,12,FALSE)</f>
        <v>0</v>
      </c>
      <c r="N45" s="71"/>
      <c r="O45" s="30"/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/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8">
        <v>612024</v>
      </c>
      <c r="AI45" s="166">
        <f>AK45/сред</f>
        <v>0</v>
      </c>
      <c r="AJ45" s="167"/>
      <c r="AK45" s="154">
        <f>SUM(G46:AG46)</f>
        <v>0</v>
      </c>
      <c r="AL45" s="155"/>
      <c r="AM45" s="317">
        <f>IF(AK45=0,0,BB117)</f>
        <v>0</v>
      </c>
      <c r="AN45" s="315">
        <f>AK45*AM45</f>
        <v>0</v>
      </c>
      <c r="AP45">
        <v>44</v>
      </c>
      <c r="AQ45" s="61" t="s">
        <v>183</v>
      </c>
      <c r="BC45">
        <v>7.6</v>
      </c>
      <c r="CG45">
        <v>240.3</v>
      </c>
      <c r="DC45">
        <v>0.2</v>
      </c>
      <c r="DE45" s="61">
        <v>150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76"/>
      <c r="B46" s="176"/>
      <c r="C46" s="176"/>
      <c r="D46" s="176"/>
      <c r="E46" s="177"/>
      <c r="F46" s="83" t="s">
        <v>100</v>
      </c>
      <c r="G46" s="92">
        <f aca="true" t="shared" si="32" ref="G46:M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/>
      <c r="M46" s="46">
        <f t="shared" si="32"/>
      </c>
      <c r="N46" s="72"/>
      <c r="O46" s="50"/>
      <c r="P46" s="45">
        <f aca="true" t="shared" si="33" ref="P46:V46">IF(P45=0,"",обідл*P45/1000)</f>
      </c>
      <c r="Q46" s="49">
        <f t="shared" si="33"/>
      </c>
      <c r="R46" s="45"/>
      <c r="S46" s="49">
        <f t="shared" si="33"/>
      </c>
      <c r="T46" s="45">
        <f t="shared" si="33"/>
      </c>
      <c r="U46" s="49">
        <f t="shared" si="33"/>
      </c>
      <c r="V46" s="45">
        <f t="shared" si="33"/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/>
      <c r="AE46" s="49">
        <f t="shared" si="34"/>
      </c>
      <c r="AF46" s="45">
        <f t="shared" si="34"/>
      </c>
      <c r="AG46" s="77">
        <f t="shared" si="34"/>
      </c>
      <c r="AH46" s="169"/>
      <c r="AI46" s="166"/>
      <c r="AJ46" s="167"/>
      <c r="AK46" s="156"/>
      <c r="AL46" s="157"/>
      <c r="AM46" s="318"/>
      <c r="AN46" s="316"/>
      <c r="AP46">
        <v>45</v>
      </c>
      <c r="AQ46" s="62" t="s">
        <v>184</v>
      </c>
      <c r="AR46" s="61"/>
      <c r="AS46" s="61"/>
      <c r="AT46" s="61"/>
      <c r="AU46" s="61"/>
      <c r="AV46" s="61"/>
      <c r="AW46" s="61"/>
      <c r="AX46" s="61"/>
      <c r="AY46" s="61"/>
      <c r="AZ46" s="61">
        <v>4</v>
      </c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>
        <v>47.9</v>
      </c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>
        <v>44</v>
      </c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150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76" t="s">
        <v>15</v>
      </c>
      <c r="B47" s="176"/>
      <c r="C47" s="176"/>
      <c r="D47" s="176"/>
      <c r="E47" s="177"/>
      <c r="F47" s="82" t="s">
        <v>99</v>
      </c>
      <c r="G47" s="90">
        <f>VLOOKUP(завтрак1,таб,13,FALSE)</f>
        <v>3</v>
      </c>
      <c r="H47" s="29">
        <f>VLOOKUP(завтрак2,таб,13,FALSE)</f>
        <v>6</v>
      </c>
      <c r="I47" s="28">
        <f>VLOOKUP(завтрак3,таб,13,FALSE)</f>
        <v>3.6</v>
      </c>
      <c r="J47" s="29">
        <f>VLOOKUP(завтрак4,таб,13,FALSE)</f>
        <v>0</v>
      </c>
      <c r="K47" s="28">
        <f>VLOOKUP(завтрак5,таб,13,FALSE)</f>
        <v>0</v>
      </c>
      <c r="L47" s="28"/>
      <c r="M47" s="28">
        <f>VLOOKUP(завтрак7,таб,13,FALSE)</f>
        <v>0</v>
      </c>
      <c r="N47" s="71"/>
      <c r="O47" s="30">
        <v>5</v>
      </c>
      <c r="P47" s="28">
        <f>VLOOKUP(обед2,таб,13,FALSE)</f>
        <v>0</v>
      </c>
      <c r="Q47" s="29">
        <f>VLOOKUP(обед3,таб,13,FALSE)</f>
        <v>0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1.2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1.3</v>
      </c>
      <c r="AB47" s="28">
        <f>VLOOKUP(ужин3,таб,13,FALSE)</f>
        <v>0</v>
      </c>
      <c r="AC47" s="29">
        <f>VLOOKUP(ужин4,таб,13,FALSE)</f>
        <v>0</v>
      </c>
      <c r="AD47" s="28"/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8">
        <v>612025</v>
      </c>
      <c r="AI47" s="166">
        <f>AK47/сред</f>
        <v>0.020940000000000004</v>
      </c>
      <c r="AJ47" s="167"/>
      <c r="AK47" s="154">
        <f>SUM(G48:AG48)</f>
        <v>0.31410000000000005</v>
      </c>
      <c r="AL47" s="155"/>
      <c r="AM47" s="317">
        <v>58.8</v>
      </c>
      <c r="AN47" s="315">
        <f>AK47*AM47</f>
        <v>18.46908</v>
      </c>
      <c r="AP47">
        <v>46</v>
      </c>
      <c r="AQ47" s="62" t="s">
        <v>185</v>
      </c>
      <c r="AR47" s="61"/>
      <c r="AS47" s="61"/>
      <c r="AT47" s="61"/>
      <c r="AU47" s="61"/>
      <c r="AV47" s="61"/>
      <c r="AW47" s="61"/>
      <c r="AX47" s="61"/>
      <c r="AY47" s="61"/>
      <c r="AZ47" s="61">
        <v>3</v>
      </c>
      <c r="BA47" s="61"/>
      <c r="BB47" s="61"/>
      <c r="BC47" s="61"/>
      <c r="BD47" s="61">
        <v>40.9</v>
      </c>
      <c r="BE47" s="61"/>
      <c r="BF47" s="61"/>
      <c r="BG47" s="61">
        <v>11</v>
      </c>
      <c r="BH47" s="61"/>
      <c r="BI47" s="61"/>
      <c r="BJ47" s="61"/>
      <c r="BK47" s="61"/>
      <c r="BL47" s="61"/>
      <c r="BM47" s="61"/>
      <c r="BN47" s="61"/>
      <c r="BO47" s="61"/>
      <c r="BP47" s="61"/>
      <c r="BQ47" s="61">
        <v>46.4</v>
      </c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>
        <v>33.3</v>
      </c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150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76"/>
      <c r="B48" s="176"/>
      <c r="C48" s="176"/>
      <c r="D48" s="176"/>
      <c r="E48" s="177"/>
      <c r="F48" s="83" t="s">
        <v>100</v>
      </c>
      <c r="G48" s="91">
        <f aca="true" t="shared" si="35" ref="G48:M48">IF(G47=0,"",завтракл*G47/1000)</f>
        <v>0.048</v>
      </c>
      <c r="H48" s="47">
        <f t="shared" si="35"/>
        <v>0.096</v>
      </c>
      <c r="I48" s="46">
        <f t="shared" si="35"/>
        <v>0.0576</v>
      </c>
      <c r="J48" s="47">
        <f t="shared" si="35"/>
      </c>
      <c r="K48" s="46">
        <f t="shared" si="35"/>
      </c>
      <c r="L48" s="46"/>
      <c r="M48" s="46">
        <f t="shared" si="35"/>
      </c>
      <c r="N48" s="72"/>
      <c r="O48" s="48">
        <f aca="true" t="shared" si="36" ref="O48:T48">IF(O47=0,"",обідл*O47/1000)</f>
        <v>0.08</v>
      </c>
      <c r="P48" s="46">
        <f t="shared" si="36"/>
      </c>
      <c r="Q48" s="47">
        <f t="shared" si="36"/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0.0156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0.016900000000000002</v>
      </c>
      <c r="AB48" s="46">
        <f t="shared" si="37"/>
      </c>
      <c r="AC48" s="47">
        <f t="shared" si="37"/>
      </c>
      <c r="AD48" s="46"/>
      <c r="AE48" s="47">
        <f t="shared" si="37"/>
      </c>
      <c r="AF48" s="46">
        <f t="shared" si="37"/>
      </c>
      <c r="AG48" s="72">
        <f t="shared" si="37"/>
      </c>
      <c r="AH48" s="169"/>
      <c r="AI48" s="166"/>
      <c r="AJ48" s="167"/>
      <c r="AK48" s="156"/>
      <c r="AL48" s="157"/>
      <c r="AM48" s="318"/>
      <c r="AN48" s="316"/>
      <c r="AP48">
        <v>47</v>
      </c>
      <c r="AQ48" s="62" t="s">
        <v>186</v>
      </c>
      <c r="AR48" s="61"/>
      <c r="AS48" s="61"/>
      <c r="AT48" s="61"/>
      <c r="AU48" s="61"/>
      <c r="AV48" s="61"/>
      <c r="AW48" s="61"/>
      <c r="AX48" s="61"/>
      <c r="AY48" s="61"/>
      <c r="AZ48" s="61">
        <v>8</v>
      </c>
      <c r="BA48" s="61"/>
      <c r="BB48" s="61"/>
      <c r="BC48" s="61"/>
      <c r="BD48" s="61">
        <v>15</v>
      </c>
      <c r="BE48" s="61"/>
      <c r="BF48" s="61"/>
      <c r="BG48" s="61"/>
      <c r="BH48" s="61"/>
      <c r="BI48" s="61"/>
      <c r="BJ48" s="61"/>
      <c r="BK48" s="61"/>
      <c r="BL48" s="61">
        <v>1.7</v>
      </c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5</v>
      </c>
      <c r="BX48" s="61"/>
      <c r="BY48" s="61"/>
      <c r="BZ48" s="61"/>
      <c r="CA48" s="61"/>
      <c r="CB48" s="61"/>
      <c r="CC48" s="61"/>
      <c r="CD48" s="61"/>
      <c r="CE48" s="61"/>
      <c r="CF48" s="61">
        <v>43</v>
      </c>
      <c r="CG48" s="61"/>
      <c r="CH48" s="61"/>
      <c r="CI48" s="61"/>
      <c r="CJ48" s="61"/>
      <c r="CK48" s="61"/>
      <c r="CL48" s="61"/>
      <c r="CM48" s="61"/>
      <c r="CN48" s="61"/>
      <c r="CO48" s="61">
        <v>134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150</v>
      </c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76" t="s">
        <v>16</v>
      </c>
      <c r="B49" s="176"/>
      <c r="C49" s="176"/>
      <c r="D49" s="176"/>
      <c r="E49" s="177"/>
      <c r="F49" s="82" t="s">
        <v>99</v>
      </c>
      <c r="G49" s="93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v>190</v>
      </c>
      <c r="K49" s="31">
        <f>VLOOKUP(завтрак5,таб,14,FALSE)</f>
        <v>0</v>
      </c>
      <c r="L49" s="31"/>
      <c r="M49" s="28">
        <f>VLOOKUP(завтрак7,таб,14,FALSE)</f>
        <v>0</v>
      </c>
      <c r="N49" s="71"/>
      <c r="O49" s="33"/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v>120</v>
      </c>
      <c r="AD49" s="31"/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8">
        <v>612036</v>
      </c>
      <c r="AI49" s="166">
        <f>AK49/сред</f>
        <v>0.30666666666666664</v>
      </c>
      <c r="AJ49" s="167"/>
      <c r="AK49" s="154">
        <f>SUM(G50:AG50)</f>
        <v>4.6</v>
      </c>
      <c r="AL49" s="155"/>
      <c r="AM49" s="317">
        <v>20.6</v>
      </c>
      <c r="AN49" s="315">
        <f>AK49*AM49</f>
        <v>94.76</v>
      </c>
      <c r="AP49">
        <v>48</v>
      </c>
      <c r="AQ49" s="62" t="s">
        <v>187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>
        <v>12</v>
      </c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>
        <v>248</v>
      </c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150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0"/>
      <c r="B50" s="180"/>
      <c r="C50" s="180"/>
      <c r="D50" s="180"/>
      <c r="E50" s="181"/>
      <c r="F50" s="83" t="s">
        <v>100</v>
      </c>
      <c r="G50" s="92">
        <f aca="true" t="shared" si="38" ref="G50:M50">IF(G49=0,"",завтракл*G49/1000)</f>
      </c>
      <c r="H50" s="49">
        <f t="shared" si="38"/>
      </c>
      <c r="I50" s="45">
        <f t="shared" si="38"/>
      </c>
      <c r="J50" s="49">
        <f t="shared" si="38"/>
        <v>3.04</v>
      </c>
      <c r="K50" s="45">
        <f t="shared" si="38"/>
      </c>
      <c r="L50" s="45"/>
      <c r="M50" s="46">
        <f t="shared" si="38"/>
      </c>
      <c r="N50" s="72"/>
      <c r="O50" s="50"/>
      <c r="P50" s="45">
        <f aca="true" t="shared" si="39" ref="P50:V50">IF(P49=0,"",обідл*P49/1000)</f>
      </c>
      <c r="Q50" s="49">
        <f t="shared" si="39"/>
      </c>
      <c r="R50" s="45"/>
      <c r="S50" s="49">
        <f t="shared" si="39"/>
      </c>
      <c r="T50" s="45">
        <f t="shared" si="39"/>
      </c>
      <c r="U50" s="49">
        <f t="shared" si="39"/>
      </c>
      <c r="V50" s="45">
        <f t="shared" si="39"/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  <v>1.56</v>
      </c>
      <c r="AD50" s="45"/>
      <c r="AE50" s="49">
        <f t="shared" si="40"/>
      </c>
      <c r="AF50" s="45">
        <f t="shared" si="40"/>
      </c>
      <c r="AG50" s="77">
        <f t="shared" si="40"/>
      </c>
      <c r="AH50" s="169"/>
      <c r="AI50" s="166"/>
      <c r="AJ50" s="167"/>
      <c r="AK50" s="156"/>
      <c r="AL50" s="157"/>
      <c r="AM50" s="318"/>
      <c r="AN50" s="316"/>
      <c r="AP50">
        <v>49</v>
      </c>
      <c r="AQ50" s="62" t="s">
        <v>188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>
        <v>15</v>
      </c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>
        <v>213</v>
      </c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150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76" t="s">
        <v>17</v>
      </c>
      <c r="B51" s="176"/>
      <c r="C51" s="176"/>
      <c r="D51" s="176"/>
      <c r="E51" s="177"/>
      <c r="F51" s="82" t="s">
        <v>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/>
      <c r="M51" s="28">
        <f>VLOOKUP(завтрак7,таб,15,FALSE)</f>
        <v>0</v>
      </c>
      <c r="N51" s="71"/>
      <c r="O51" s="30"/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/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8">
        <v>612034</v>
      </c>
      <c r="AI51" s="166">
        <f>AK51/сред</f>
        <v>0</v>
      </c>
      <c r="AJ51" s="167"/>
      <c r="AK51" s="154">
        <f>SUM(G52:AG52)</f>
        <v>0</v>
      </c>
      <c r="AL51" s="155"/>
      <c r="AM51" s="317">
        <f>IF(AK51=0,0,BE117)</f>
        <v>0</v>
      </c>
      <c r="AN51" s="315">
        <f>AK51*AM51</f>
        <v>0</v>
      </c>
      <c r="AP51">
        <v>50</v>
      </c>
      <c r="AQ51" s="61" t="s">
        <v>189</v>
      </c>
      <c r="AZ51">
        <v>107</v>
      </c>
      <c r="BD51">
        <v>93</v>
      </c>
      <c r="BL51">
        <v>5.2</v>
      </c>
      <c r="CG51">
        <v>176</v>
      </c>
      <c r="DE51" s="61">
        <v>150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42" ht="34.5" customHeight="1">
      <c r="A52" s="176"/>
      <c r="B52" s="176"/>
      <c r="C52" s="176"/>
      <c r="D52" s="176"/>
      <c r="E52" s="177"/>
      <c r="F52" s="83" t="s">
        <v>100</v>
      </c>
      <c r="G52" s="91">
        <f aca="true" t="shared" si="41" ref="G52:M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/>
      <c r="M52" s="46">
        <f t="shared" si="41"/>
      </c>
      <c r="N52" s="72"/>
      <c r="O52" s="48"/>
      <c r="P52" s="46">
        <f aca="true" t="shared" si="42" ref="P52:V52">IF(P51=0,"",обідл*P51/1000)</f>
      </c>
      <c r="Q52" s="47">
        <f t="shared" si="42"/>
      </c>
      <c r="R52" s="46"/>
      <c r="S52" s="47">
        <f t="shared" si="42"/>
      </c>
      <c r="T52" s="46">
        <f t="shared" si="42"/>
      </c>
      <c r="U52" s="47">
        <f t="shared" si="42"/>
      </c>
      <c r="V52" s="46">
        <f t="shared" si="42"/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/>
      <c r="AE52" s="47">
        <f t="shared" si="43"/>
      </c>
      <c r="AF52" s="46">
        <f t="shared" si="43"/>
      </c>
      <c r="AG52" s="72">
        <f t="shared" si="43"/>
      </c>
      <c r="AH52" s="169"/>
      <c r="AI52" s="166"/>
      <c r="AJ52" s="167"/>
      <c r="AK52" s="156"/>
      <c r="AL52" s="157"/>
      <c r="AM52" s="318"/>
      <c r="AN52" s="316"/>
      <c r="AP52">
        <v>51</v>
      </c>
      <c r="AQ52" s="62" t="s">
        <v>190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>
        <v>3</v>
      </c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>
        <v>6.1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>
        <v>106</v>
      </c>
      <c r="CH52" s="61"/>
      <c r="CI52" s="61">
        <v>37.5</v>
      </c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>
        <v>150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>
        <v>6.1</v>
      </c>
      <c r="DR52" s="61"/>
      <c r="DS52" s="61"/>
      <c r="DT52" s="61"/>
      <c r="DU52" s="61"/>
      <c r="DV52" s="61"/>
      <c r="DW52" s="61"/>
      <c r="DX52" s="61"/>
      <c r="EL52">
        <v>0.8</v>
      </c>
    </row>
    <row r="53" spans="1:128" ht="34.5" customHeight="1">
      <c r="A53" s="178" t="s">
        <v>18</v>
      </c>
      <c r="B53" s="178"/>
      <c r="C53" s="178"/>
      <c r="D53" s="178"/>
      <c r="E53" s="179"/>
      <c r="F53" s="82" t="s">
        <v>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/>
      <c r="M53" s="28">
        <f>VLOOKUP(завтрак7,таб,16,FALSE)</f>
        <v>0</v>
      </c>
      <c r="N53" s="71"/>
      <c r="O53" s="33"/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125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/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8">
        <v>612053</v>
      </c>
      <c r="AI53" s="166">
        <f>AK53/сред</f>
        <v>0.10833333333333334</v>
      </c>
      <c r="AJ53" s="167"/>
      <c r="AK53" s="154">
        <f>SUM(G54:AG54)</f>
        <v>1.625</v>
      </c>
      <c r="AL53" s="155"/>
      <c r="AM53" s="317">
        <v>31.21</v>
      </c>
      <c r="AN53" s="315">
        <f>AK53*AM53</f>
        <v>50.71625</v>
      </c>
      <c r="AP53">
        <v>52</v>
      </c>
      <c r="AQ53" s="62" t="s">
        <v>191</v>
      </c>
      <c r="AR53" s="61">
        <v>51.6</v>
      </c>
      <c r="AS53" s="61"/>
      <c r="AT53" s="61"/>
      <c r="AU53" s="61"/>
      <c r="AV53" s="61">
        <v>79.2</v>
      </c>
      <c r="AW53" s="61"/>
      <c r="AX53" s="61"/>
      <c r="AY53" s="61"/>
      <c r="AZ53" s="61">
        <v>0.85</v>
      </c>
      <c r="BA53" s="61"/>
      <c r="BB53" s="61"/>
      <c r="BC53" s="61">
        <v>3.8</v>
      </c>
      <c r="BD53" s="61">
        <v>47</v>
      </c>
      <c r="BE53" s="61"/>
      <c r="BF53" s="61"/>
      <c r="BG53" s="61"/>
      <c r="BH53" s="61"/>
      <c r="BI53" s="61"/>
      <c r="BJ53" s="61"/>
      <c r="BK53" s="61"/>
      <c r="BL53" s="61">
        <v>206</v>
      </c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>
        <v>9.9</v>
      </c>
      <c r="CJ53" s="61"/>
      <c r="CK53" s="61"/>
      <c r="CL53" s="61"/>
      <c r="CM53" s="61">
        <v>13.2</v>
      </c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>
        <v>150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0"/>
      <c r="B54" s="180"/>
      <c r="C54" s="180"/>
      <c r="D54" s="180"/>
      <c r="E54" s="181"/>
      <c r="F54" s="83" t="s">
        <v>100</v>
      </c>
      <c r="G54" s="92">
        <f aca="true" t="shared" si="44" ref="G54:M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/>
      <c r="M54" s="46">
        <f t="shared" si="44"/>
      </c>
      <c r="N54" s="72"/>
      <c r="O54" s="50"/>
      <c r="P54" s="45">
        <f aca="true" t="shared" si="45" ref="P54:V54">IF(P53=0,"",обідл*P53/1000)</f>
      </c>
      <c r="Q54" s="49">
        <f t="shared" si="45"/>
      </c>
      <c r="R54" s="45"/>
      <c r="S54" s="49">
        <f t="shared" si="45"/>
      </c>
      <c r="T54" s="45">
        <f t="shared" si="45"/>
      </c>
      <c r="U54" s="49">
        <f t="shared" si="45"/>
      </c>
      <c r="V54" s="45">
        <f t="shared" si="45"/>
      </c>
      <c r="W54" s="45">
        <f>IF(W53=0,"",полдникл*W53/1000)</f>
      </c>
      <c r="X54" s="45">
        <f>IF(X53=0,"",полдникл*X53/1000)</f>
        <v>1.625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/>
      <c r="AE54" s="49">
        <f t="shared" si="46"/>
      </c>
      <c r="AF54" s="45">
        <f t="shared" si="46"/>
      </c>
      <c r="AG54" s="77">
        <f t="shared" si="46"/>
      </c>
      <c r="AH54" s="169"/>
      <c r="AI54" s="166"/>
      <c r="AJ54" s="167"/>
      <c r="AK54" s="156"/>
      <c r="AL54" s="157"/>
      <c r="AM54" s="318"/>
      <c r="AN54" s="316"/>
      <c r="AP54">
        <v>53</v>
      </c>
      <c r="AQ54" s="62" t="s">
        <v>192</v>
      </c>
      <c r="AR54" s="61">
        <v>73.3</v>
      </c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>
        <v>0.4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>
        <v>3</v>
      </c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>
        <v>85</v>
      </c>
      <c r="CJ54" s="61">
        <v>3</v>
      </c>
      <c r="CK54" s="61"/>
      <c r="CL54" s="61"/>
      <c r="CM54" s="61">
        <v>20</v>
      </c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>
        <v>100</v>
      </c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</row>
    <row r="55" spans="1:128" ht="34.5" customHeight="1">
      <c r="A55" s="176" t="s">
        <v>19</v>
      </c>
      <c r="B55" s="176"/>
      <c r="C55" s="176"/>
      <c r="D55" s="176"/>
      <c r="E55" s="177"/>
      <c r="F55" s="82" t="s">
        <v>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12</v>
      </c>
      <c r="J55" s="34">
        <f>VLOOKUP(завтрак4,таб,17,FALSE)</f>
        <v>0</v>
      </c>
      <c r="K55" s="35">
        <f>VLOOKUP(завтрак5,таб,17,FALSE)</f>
        <v>0</v>
      </c>
      <c r="L55" s="35"/>
      <c r="M55" s="28">
        <f>VLOOKUP(завтрак7,таб,17,FALSE)</f>
        <v>0</v>
      </c>
      <c r="N55" s="71"/>
      <c r="O55" s="36"/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3.6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11.3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/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8">
        <v>612060</v>
      </c>
      <c r="AI55" s="166">
        <f>AK55/сред</f>
        <v>0.025713333333333335</v>
      </c>
      <c r="AJ55" s="167"/>
      <c r="AK55" s="154">
        <f>SUM(G56:AG56)</f>
        <v>0.38570000000000004</v>
      </c>
      <c r="AL55" s="155"/>
      <c r="AM55" s="317">
        <v>60.75</v>
      </c>
      <c r="AN55" s="315">
        <f>AK55*AM55</f>
        <v>23.431275000000003</v>
      </c>
      <c r="AP55">
        <v>54</v>
      </c>
      <c r="AQ55" s="62" t="s">
        <v>193</v>
      </c>
      <c r="AR55" s="61"/>
      <c r="AS55" s="61"/>
      <c r="AT55" s="61">
        <v>104.2</v>
      </c>
      <c r="AU55" s="61"/>
      <c r="AV55" s="61"/>
      <c r="AW55" s="61"/>
      <c r="AX55" s="61"/>
      <c r="AY55" s="61"/>
      <c r="AZ55" s="61"/>
      <c r="BA55" s="61"/>
      <c r="BB55" s="61"/>
      <c r="BC55" s="61">
        <v>4.5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>
        <v>75</v>
      </c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76"/>
      <c r="B56" s="176"/>
      <c r="C56" s="176"/>
      <c r="D56" s="176"/>
      <c r="E56" s="177"/>
      <c r="F56" s="83" t="s">
        <v>100</v>
      </c>
      <c r="G56" s="91">
        <f aca="true" t="shared" si="47" ref="G56:M56">IF(G55=0,"",завтракл*G55/1000)</f>
      </c>
      <c r="H56" s="47">
        <f t="shared" si="47"/>
      </c>
      <c r="I56" s="46">
        <f t="shared" si="47"/>
        <v>0.192</v>
      </c>
      <c r="J56" s="47">
        <f t="shared" si="47"/>
      </c>
      <c r="K56" s="46">
        <f t="shared" si="47"/>
      </c>
      <c r="L56" s="46"/>
      <c r="M56" s="46">
        <f t="shared" si="47"/>
      </c>
      <c r="N56" s="72"/>
      <c r="O56" s="48"/>
      <c r="P56" s="46">
        <f aca="true" t="shared" si="48" ref="P56:V56">IF(P55=0,"",обідл*P55/1000)</f>
      </c>
      <c r="Q56" s="47">
        <f t="shared" si="48"/>
      </c>
      <c r="R56" s="46"/>
      <c r="S56" s="47">
        <f t="shared" si="48"/>
      </c>
      <c r="T56" s="46">
        <f t="shared" si="48"/>
      </c>
      <c r="U56" s="47">
        <f t="shared" si="48"/>
      </c>
      <c r="V56" s="46">
        <f t="shared" si="48"/>
      </c>
      <c r="W56" s="46">
        <f>IF(W55=0,"",полдникл*W55/1000)</f>
        <v>0.0468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  <v>0.1469</v>
      </c>
      <c r="AA56" s="47">
        <f t="shared" si="49"/>
      </c>
      <c r="AB56" s="46">
        <f t="shared" si="49"/>
      </c>
      <c r="AC56" s="47">
        <f t="shared" si="49"/>
      </c>
      <c r="AD56" s="46"/>
      <c r="AE56" s="47">
        <f t="shared" si="49"/>
      </c>
      <c r="AF56" s="46">
        <f t="shared" si="49"/>
      </c>
      <c r="AG56" s="72">
        <f t="shared" si="49"/>
      </c>
      <c r="AH56" s="169"/>
      <c r="AI56" s="166"/>
      <c r="AJ56" s="167"/>
      <c r="AK56" s="156"/>
      <c r="AL56" s="157"/>
      <c r="AM56" s="318"/>
      <c r="AN56" s="316"/>
      <c r="AP56">
        <v>55</v>
      </c>
      <c r="AQ56" s="61" t="s">
        <v>194</v>
      </c>
      <c r="AT56">
        <v>44.4</v>
      </c>
      <c r="BJ56">
        <v>0.1</v>
      </c>
      <c r="BL56">
        <v>5</v>
      </c>
      <c r="CQ56">
        <v>10</v>
      </c>
      <c r="DE56" s="61">
        <v>50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78" t="s">
        <v>20</v>
      </c>
      <c r="B57" s="178"/>
      <c r="C57" s="178"/>
      <c r="D57" s="178"/>
      <c r="E57" s="179"/>
      <c r="F57" s="82" t="s">
        <v>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/>
      <c r="M57" s="28">
        <f>VLOOKUP(завтрак7,таб,18,FALSE)</f>
        <v>0</v>
      </c>
      <c r="N57" s="71"/>
      <c r="O57" s="39"/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85.2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/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8">
        <v>612087</v>
      </c>
      <c r="AI57" s="166">
        <f>AK57/сред</f>
        <v>0.07384</v>
      </c>
      <c r="AJ57" s="167"/>
      <c r="AK57" s="154">
        <f>SUM(G58:AG58)</f>
        <v>1.1076000000000001</v>
      </c>
      <c r="AL57" s="155"/>
      <c r="AM57" s="317">
        <v>46</v>
      </c>
      <c r="AN57" s="315">
        <f>AK57*AM57</f>
        <v>50.949600000000004</v>
      </c>
      <c r="AP57">
        <v>56</v>
      </c>
      <c r="AQ57" s="61" t="s">
        <v>195</v>
      </c>
      <c r="AT57">
        <v>104</v>
      </c>
      <c r="BJ57">
        <v>0.1</v>
      </c>
      <c r="BL57">
        <v>7.7</v>
      </c>
      <c r="DE57" s="61">
        <v>75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0"/>
      <c r="B58" s="180"/>
      <c r="C58" s="180"/>
      <c r="D58" s="180"/>
      <c r="E58" s="181"/>
      <c r="F58" s="83" t="s">
        <v>100</v>
      </c>
      <c r="G58" s="92">
        <f aca="true" t="shared" si="50" ref="G58:M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/>
      <c r="M58" s="46">
        <f t="shared" si="50"/>
      </c>
      <c r="N58" s="72"/>
      <c r="O58" s="50"/>
      <c r="P58" s="45">
        <f aca="true" t="shared" si="51" ref="P58:V58">IF(P57=0,"",обідл*P57/1000)</f>
      </c>
      <c r="Q58" s="49">
        <f t="shared" si="51"/>
      </c>
      <c r="R58" s="45"/>
      <c r="S58" s="49">
        <f t="shared" si="51"/>
      </c>
      <c r="T58" s="45">
        <f t="shared" si="51"/>
      </c>
      <c r="U58" s="49">
        <f t="shared" si="51"/>
      </c>
      <c r="V58" s="45">
        <f t="shared" si="51"/>
      </c>
      <c r="W58" s="45">
        <f>IF(W57=0,"",полдникл*W57/1000)</f>
        <v>1.1076000000000001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/>
      <c r="AE58" s="49">
        <f t="shared" si="52"/>
      </c>
      <c r="AF58" s="45">
        <f t="shared" si="52"/>
      </c>
      <c r="AG58" s="77">
        <f t="shared" si="52"/>
      </c>
      <c r="AH58" s="169"/>
      <c r="AI58" s="166"/>
      <c r="AJ58" s="167"/>
      <c r="AK58" s="156"/>
      <c r="AL58" s="157"/>
      <c r="AM58" s="318"/>
      <c r="AN58" s="316"/>
      <c r="AP58">
        <v>57</v>
      </c>
      <c r="AQ58" s="62" t="s">
        <v>196</v>
      </c>
      <c r="AR58" s="61"/>
      <c r="AS58" s="61"/>
      <c r="AT58" s="61"/>
      <c r="AU58" s="61"/>
      <c r="AV58" s="61"/>
      <c r="AW58" s="61">
        <v>21.5</v>
      </c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>
        <v>0.2</v>
      </c>
      <c r="BK58" s="61"/>
      <c r="BL58" s="61">
        <v>27</v>
      </c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100</v>
      </c>
      <c r="DF58" s="61"/>
      <c r="DG58" s="61"/>
      <c r="DH58" s="61"/>
      <c r="DI58" s="61"/>
      <c r="DJ58" s="61"/>
      <c r="DK58" s="61">
        <v>40.8</v>
      </c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76" t="s">
        <v>21</v>
      </c>
      <c r="B59" s="176"/>
      <c r="C59" s="176"/>
      <c r="D59" s="176"/>
      <c r="E59" s="177"/>
      <c r="F59" s="82" t="s">
        <v>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/>
      <c r="M59" s="28">
        <f>VLOOKUP(завтрак7,таб,19,FALSE)</f>
        <v>0</v>
      </c>
      <c r="N59" s="71"/>
      <c r="O59" s="36"/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v>15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8">
        <v>612075</v>
      </c>
      <c r="AI59" s="166">
        <f>AK59/сред</f>
        <v>0.013000000000000001</v>
      </c>
      <c r="AJ59" s="167"/>
      <c r="AK59" s="154">
        <f>SUM(G60:AG60)</f>
        <v>0.195</v>
      </c>
      <c r="AL59" s="155"/>
      <c r="AM59" s="317">
        <v>114.99</v>
      </c>
      <c r="AN59" s="315">
        <f>AK59*AM59</f>
        <v>22.42305</v>
      </c>
      <c r="AP59">
        <v>58</v>
      </c>
      <c r="AQ59" s="61" t="s">
        <v>197</v>
      </c>
      <c r="AZ59">
        <v>8.5</v>
      </c>
      <c r="BD59">
        <v>85.4</v>
      </c>
      <c r="BI59">
        <v>21.5</v>
      </c>
      <c r="BL59">
        <v>8.6</v>
      </c>
      <c r="BS59">
        <v>19.6</v>
      </c>
      <c r="DE59" s="61">
        <v>150</v>
      </c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76"/>
      <c r="B60" s="176"/>
      <c r="C60" s="176"/>
      <c r="D60" s="176"/>
      <c r="E60" s="177"/>
      <c r="F60" s="83" t="s">
        <v>100</v>
      </c>
      <c r="G60" s="91">
        <f aca="true" t="shared" si="53" ref="G60:M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/>
      <c r="M60" s="46">
        <f t="shared" si="53"/>
      </c>
      <c r="N60" s="72"/>
      <c r="O60" s="48"/>
      <c r="P60" s="46">
        <f aca="true" t="shared" si="54" ref="P60:V60">IF(P59=0,"",обідл*P59/1000)</f>
      </c>
      <c r="Q60" s="47">
        <f t="shared" si="54"/>
      </c>
      <c r="R60" s="46"/>
      <c r="S60" s="47">
        <f t="shared" si="54"/>
      </c>
      <c r="T60" s="46">
        <f t="shared" si="54"/>
      </c>
      <c r="U60" s="47">
        <f t="shared" si="54"/>
      </c>
      <c r="V60" s="46">
        <f t="shared" si="54"/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  <v>0.195</v>
      </c>
      <c r="AE60" s="47">
        <f t="shared" si="55"/>
      </c>
      <c r="AF60" s="46">
        <f t="shared" si="55"/>
      </c>
      <c r="AG60" s="72">
        <f t="shared" si="55"/>
      </c>
      <c r="AH60" s="169"/>
      <c r="AI60" s="166"/>
      <c r="AJ60" s="167"/>
      <c r="AK60" s="156"/>
      <c r="AL60" s="157"/>
      <c r="AM60" s="318"/>
      <c r="AN60" s="316"/>
      <c r="AP60">
        <v>59</v>
      </c>
      <c r="AQ60" s="62" t="s">
        <v>198</v>
      </c>
      <c r="AR60" s="61"/>
      <c r="AS60" s="61">
        <v>64.1</v>
      </c>
      <c r="AT60" s="61"/>
      <c r="AU60" s="61"/>
      <c r="AV60" s="61"/>
      <c r="AW60" s="61"/>
      <c r="AX60" s="61"/>
      <c r="AY60" s="61"/>
      <c r="AZ60" s="61">
        <v>3</v>
      </c>
      <c r="BA60" s="61"/>
      <c r="BB60" s="61"/>
      <c r="BC60" s="61">
        <v>1.1</v>
      </c>
      <c r="BD60" s="61"/>
      <c r="BE60" s="61"/>
      <c r="BF60" s="61"/>
      <c r="BG60" s="61"/>
      <c r="BH60" s="61"/>
      <c r="BI60" s="61"/>
      <c r="BJ60" s="61"/>
      <c r="BK60" s="61"/>
      <c r="BL60" s="61">
        <v>2</v>
      </c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>
        <v>103.1</v>
      </c>
      <c r="CH60" s="61"/>
      <c r="CI60" s="61">
        <v>11.6</v>
      </c>
      <c r="CJ60" s="61">
        <v>22.4</v>
      </c>
      <c r="CK60" s="61"/>
      <c r="CL60" s="61"/>
      <c r="CM60" s="61">
        <v>7.5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76" t="s">
        <v>22</v>
      </c>
      <c r="B61" s="176"/>
      <c r="C61" s="176"/>
      <c r="D61" s="176"/>
      <c r="E61" s="177"/>
      <c r="F61" s="82" t="s">
        <v>102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0.5</v>
      </c>
      <c r="J61" s="34">
        <f>VLOOKUP(завтрак4,таб,20,FALSE)</f>
        <v>0</v>
      </c>
      <c r="K61" s="35">
        <f>VLOOKUP(завтрак5,таб,20,FALSE)</f>
        <v>0</v>
      </c>
      <c r="L61" s="35">
        <v>1</v>
      </c>
      <c r="M61" s="28">
        <f>VLOOKUP(завтрак7,таб,20,FALSE)</f>
        <v>0</v>
      </c>
      <c r="N61" s="71"/>
      <c r="O61" s="36"/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0.2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/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8">
        <v>612064</v>
      </c>
      <c r="AI61" s="166">
        <f>AK61/сред</f>
        <v>1.7733333333333334</v>
      </c>
      <c r="AJ61" s="167"/>
      <c r="AK61" s="231">
        <f>SUM(G62:AG62)</f>
        <v>26.6</v>
      </c>
      <c r="AL61" s="232"/>
      <c r="AM61" s="317">
        <v>4</v>
      </c>
      <c r="AN61" s="315">
        <f>AK61*AM61</f>
        <v>106.4</v>
      </c>
      <c r="AP61">
        <v>60</v>
      </c>
      <c r="AQ61" s="62" t="s">
        <v>199</v>
      </c>
      <c r="AR61" s="61">
        <v>109.6</v>
      </c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>
        <v>6</v>
      </c>
      <c r="BI61" s="61"/>
      <c r="BJ61" s="61">
        <v>0.1</v>
      </c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75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76"/>
      <c r="B62" s="176"/>
      <c r="C62" s="176"/>
      <c r="D62" s="176"/>
      <c r="E62" s="177"/>
      <c r="F62" s="83" t="s">
        <v>102</v>
      </c>
      <c r="G62" s="94">
        <f aca="true" t="shared" si="56" ref="G62:L62">IF(G61=0,"",завтракл*G61)</f>
      </c>
      <c r="H62" s="25">
        <f t="shared" si="56"/>
      </c>
      <c r="I62" s="24">
        <f t="shared" si="56"/>
        <v>8</v>
      </c>
      <c r="J62" s="25">
        <f t="shared" si="56"/>
      </c>
      <c r="K62" s="24">
        <f t="shared" si="56"/>
      </c>
      <c r="L62" s="24">
        <f t="shared" si="56"/>
        <v>16</v>
      </c>
      <c r="M62" s="24">
        <f>IF(M61=0,"",завтракл*M61)</f>
      </c>
      <c r="N62" s="73"/>
      <c r="O62" s="26"/>
      <c r="P62" s="24">
        <f aca="true" t="shared" si="57" ref="P62:V62">IF(P61=0,"",завтракл*P61)</f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2.6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/>
      <c r="AE62" s="25">
        <f t="shared" si="58"/>
      </c>
      <c r="AF62" s="24">
        <f t="shared" si="58"/>
      </c>
      <c r="AG62" s="73">
        <f t="shared" si="58"/>
      </c>
      <c r="AH62" s="169"/>
      <c r="AI62" s="166"/>
      <c r="AJ62" s="167"/>
      <c r="AK62" s="233"/>
      <c r="AL62" s="234"/>
      <c r="AM62" s="318"/>
      <c r="AN62" s="316"/>
      <c r="AP62">
        <v>61</v>
      </c>
      <c r="AQ62" s="61" t="s">
        <v>200</v>
      </c>
      <c r="AT62" s="61">
        <v>55.6</v>
      </c>
      <c r="BW62">
        <v>1.8</v>
      </c>
      <c r="CI62">
        <v>4.2</v>
      </c>
      <c r="CM62">
        <v>8.3</v>
      </c>
      <c r="DE62" s="61">
        <v>50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78" t="s">
        <v>140</v>
      </c>
      <c r="B63" s="178"/>
      <c r="C63" s="178"/>
      <c r="D63" s="178"/>
      <c r="E63" s="179"/>
      <c r="F63" s="82" t="s">
        <v>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/>
      <c r="M63" s="28">
        <f>VLOOKUP(завтрак7,таб,21,FALSE)</f>
        <v>0</v>
      </c>
      <c r="N63" s="71"/>
      <c r="O63" s="39"/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/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8">
        <v>612112</v>
      </c>
      <c r="AI63" s="166">
        <f>AK63/сред</f>
        <v>0</v>
      </c>
      <c r="AJ63" s="167"/>
      <c r="AK63" s="154">
        <f>SUM(G64:AG64)</f>
        <v>0</v>
      </c>
      <c r="AL63" s="155"/>
      <c r="AM63" s="317">
        <f>IF(AK63=0,0,BK117)</f>
        <v>0</v>
      </c>
      <c r="AN63" s="315">
        <f>AK63*AM63</f>
        <v>0</v>
      </c>
      <c r="AP63">
        <v>62</v>
      </c>
      <c r="AQ63" s="62" t="s">
        <v>201</v>
      </c>
      <c r="AR63" s="61"/>
      <c r="AS63" s="61"/>
      <c r="AT63" s="61">
        <v>26.7</v>
      </c>
      <c r="AU63" s="61"/>
      <c r="AV63" s="61"/>
      <c r="AW63" s="61"/>
      <c r="AX63" s="61"/>
      <c r="AY63" s="61"/>
      <c r="AZ63" s="61">
        <v>4</v>
      </c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>
        <v>46.9</v>
      </c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>
        <v>65.7</v>
      </c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>
        <v>200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0"/>
      <c r="B64" s="180"/>
      <c r="C64" s="180"/>
      <c r="D64" s="180"/>
      <c r="E64" s="181"/>
      <c r="F64" s="83" t="s">
        <v>100</v>
      </c>
      <c r="G64" s="92">
        <f aca="true" t="shared" si="59" ref="G64:M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/>
      <c r="M64" s="46">
        <f t="shared" si="59"/>
      </c>
      <c r="N64" s="72"/>
      <c r="O64" s="50"/>
      <c r="P64" s="45">
        <f aca="true" t="shared" si="60" ref="P64:V64">IF(P63=0,"",обідл*P63/1000)</f>
      </c>
      <c r="Q64" s="49">
        <f t="shared" si="60"/>
      </c>
      <c r="R64" s="45"/>
      <c r="S64" s="49">
        <f t="shared" si="60"/>
      </c>
      <c r="T64" s="45">
        <f t="shared" si="60"/>
      </c>
      <c r="U64" s="49">
        <f t="shared" si="60"/>
      </c>
      <c r="V64" s="45">
        <f t="shared" si="60"/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/>
      <c r="AE64" s="49">
        <f t="shared" si="61"/>
      </c>
      <c r="AF64" s="45">
        <f t="shared" si="61"/>
      </c>
      <c r="AG64" s="77">
        <f t="shared" si="61"/>
      </c>
      <c r="AH64" s="169"/>
      <c r="AI64" s="166"/>
      <c r="AJ64" s="167"/>
      <c r="AK64" s="156"/>
      <c r="AL64" s="157"/>
      <c r="AM64" s="318"/>
      <c r="AN64" s="316"/>
      <c r="AP64">
        <v>63</v>
      </c>
      <c r="AQ64" s="62" t="s">
        <v>202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>
        <v>95.6</v>
      </c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>
        <v>86.6</v>
      </c>
      <c r="CH64" s="61"/>
      <c r="CI64" s="61">
        <v>20.1</v>
      </c>
      <c r="CJ64" s="61">
        <v>83.4</v>
      </c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>
        <v>200</v>
      </c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76" t="s">
        <v>62</v>
      </c>
      <c r="B65" s="176"/>
      <c r="C65" s="176"/>
      <c r="D65" s="176"/>
      <c r="E65" s="177"/>
      <c r="F65" s="82" t="s">
        <v>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/>
      <c r="M65" s="28">
        <f>VLOOKUP(завтрак7,таб,22,FALSE)</f>
        <v>0</v>
      </c>
      <c r="N65" s="71"/>
      <c r="O65" s="36"/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/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8">
        <v>613001</v>
      </c>
      <c r="AI65" s="166">
        <f>AK65/сред</f>
        <v>0</v>
      </c>
      <c r="AJ65" s="167"/>
      <c r="AK65" s="154">
        <f>SUM(G66:AG66)</f>
        <v>0</v>
      </c>
      <c r="AL65" s="155"/>
      <c r="AM65" s="317">
        <f>IF(AK65=0,0,BL117)</f>
        <v>0</v>
      </c>
      <c r="AN65" s="315">
        <f>AK65*AM65</f>
        <v>0</v>
      </c>
      <c r="AP65">
        <v>64</v>
      </c>
      <c r="AQ65" s="62" t="s">
        <v>203</v>
      </c>
      <c r="AR65" s="61"/>
      <c r="AS65" s="61"/>
      <c r="AT65" s="61">
        <v>138.9</v>
      </c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>
        <v>0.1</v>
      </c>
      <c r="BK65" s="61"/>
      <c r="BL65" s="61">
        <v>10.2</v>
      </c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>
        <v>100</v>
      </c>
      <c r="DF65" s="61"/>
      <c r="DG65" s="61"/>
      <c r="DH65" s="61"/>
      <c r="DI65" s="61">
        <v>18</v>
      </c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76"/>
      <c r="B66" s="176"/>
      <c r="C66" s="176"/>
      <c r="D66" s="176"/>
      <c r="E66" s="177"/>
      <c r="F66" s="83" t="s">
        <v>100</v>
      </c>
      <c r="G66" s="91">
        <f aca="true" t="shared" si="62" ref="G66:M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/>
      <c r="M66" s="46">
        <f t="shared" si="62"/>
      </c>
      <c r="N66" s="72"/>
      <c r="O66" s="48"/>
      <c r="P66" s="46">
        <f aca="true" t="shared" si="63" ref="P66:V66">IF(P65=0,"",обідл*P65/1000)</f>
      </c>
      <c r="Q66" s="47">
        <f t="shared" si="63"/>
      </c>
      <c r="R66" s="46"/>
      <c r="S66" s="47">
        <f t="shared" si="63"/>
      </c>
      <c r="T66" s="46">
        <f t="shared" si="63"/>
      </c>
      <c r="U66" s="47">
        <f t="shared" si="63"/>
      </c>
      <c r="V66" s="46">
        <f t="shared" si="63"/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/>
      <c r="AE66" s="47">
        <f t="shared" si="64"/>
      </c>
      <c r="AF66" s="46">
        <f t="shared" si="64"/>
      </c>
      <c r="AG66" s="72">
        <f t="shared" si="64"/>
      </c>
      <c r="AH66" s="169"/>
      <c r="AI66" s="166"/>
      <c r="AJ66" s="167"/>
      <c r="AK66" s="156"/>
      <c r="AL66" s="157"/>
      <c r="AM66" s="318"/>
      <c r="AN66" s="316"/>
      <c r="AP66">
        <v>65</v>
      </c>
      <c r="AQ66" s="62" t="s">
        <v>204</v>
      </c>
      <c r="AR66" s="61"/>
      <c r="AS66" s="61"/>
      <c r="AT66" s="61">
        <v>84</v>
      </c>
      <c r="AU66" s="61"/>
      <c r="AV66" s="61"/>
      <c r="AW66" s="61"/>
      <c r="AX66" s="61"/>
      <c r="AY66" s="61"/>
      <c r="AZ66" s="61"/>
      <c r="BA66" s="61"/>
      <c r="BB66" s="61"/>
      <c r="BC66" s="61">
        <v>6</v>
      </c>
      <c r="BD66" s="61"/>
      <c r="BE66" s="61"/>
      <c r="BF66" s="61"/>
      <c r="BG66" s="61"/>
      <c r="BH66" s="61"/>
      <c r="BI66" s="61"/>
      <c r="BJ66" s="61"/>
      <c r="BK66" s="61"/>
      <c r="BL66" s="61">
        <v>0.8</v>
      </c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>
        <v>60</v>
      </c>
      <c r="CJ66" s="61"/>
      <c r="CK66" s="61"/>
      <c r="CL66" s="61"/>
      <c r="CM66" s="61">
        <v>11.2</v>
      </c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>
        <v>100</v>
      </c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78" t="s">
        <v>23</v>
      </c>
      <c r="B67" s="178"/>
      <c r="C67" s="178"/>
      <c r="D67" s="178"/>
      <c r="E67" s="179"/>
      <c r="F67" s="82" t="s">
        <v>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/>
      <c r="M67" s="28">
        <f>VLOOKUP(завтрак7,таб,23,FALSE)</f>
        <v>0</v>
      </c>
      <c r="N67" s="71"/>
      <c r="O67" s="39"/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2.1</v>
      </c>
      <c r="AB67" s="38">
        <f>VLOOKUP(ужин3,таб,23,FALSE)</f>
        <v>0</v>
      </c>
      <c r="AC67" s="37">
        <f>VLOOKUP(ужин4,таб,23,FALSE)</f>
        <v>0</v>
      </c>
      <c r="AD67" s="38"/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8">
        <v>613016</v>
      </c>
      <c r="AI67" s="166">
        <f>AK67/сред</f>
        <v>0.00182</v>
      </c>
      <c r="AJ67" s="167"/>
      <c r="AK67" s="154">
        <f>SUM(G68:AG68)</f>
        <v>0.0273</v>
      </c>
      <c r="AL67" s="155"/>
      <c r="AM67" s="317">
        <v>75</v>
      </c>
      <c r="AN67" s="315">
        <f>AK67*AM67</f>
        <v>2.0475000000000003</v>
      </c>
      <c r="AP67">
        <v>66</v>
      </c>
      <c r="AQ67" s="62" t="s">
        <v>205</v>
      </c>
      <c r="AR67" s="61"/>
      <c r="AS67" s="61"/>
      <c r="AT67" s="61">
        <v>133.8</v>
      </c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>
        <v>11.9</v>
      </c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100</v>
      </c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0"/>
      <c r="B68" s="180"/>
      <c r="C68" s="180"/>
      <c r="D68" s="180"/>
      <c r="E68" s="181"/>
      <c r="F68" s="83" t="s">
        <v>100</v>
      </c>
      <c r="G68" s="92">
        <f aca="true" t="shared" si="65" ref="G68:M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/>
      <c r="M68" s="46">
        <f t="shared" si="65"/>
      </c>
      <c r="N68" s="72"/>
      <c r="O68" s="50"/>
      <c r="P68" s="45">
        <f aca="true" t="shared" si="66" ref="P68:V68">IF(P67=0,"",обідл*P67/1000)</f>
      </c>
      <c r="Q68" s="49">
        <f t="shared" si="66"/>
      </c>
      <c r="R68" s="45"/>
      <c r="S68" s="49">
        <f t="shared" si="66"/>
      </c>
      <c r="T68" s="45">
        <f t="shared" si="66"/>
      </c>
      <c r="U68" s="49">
        <f t="shared" si="66"/>
      </c>
      <c r="V68" s="45">
        <f t="shared" si="66"/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  <v>0.0273</v>
      </c>
      <c r="AB68" s="45">
        <f t="shared" si="67"/>
      </c>
      <c r="AC68" s="49">
        <f t="shared" si="67"/>
      </c>
      <c r="AD68" s="45"/>
      <c r="AE68" s="49">
        <f t="shared" si="67"/>
      </c>
      <c r="AF68" s="45">
        <f t="shared" si="67"/>
      </c>
      <c r="AG68" s="77">
        <f t="shared" si="67"/>
      </c>
      <c r="AH68" s="169"/>
      <c r="AI68" s="166"/>
      <c r="AJ68" s="167"/>
      <c r="AK68" s="156"/>
      <c r="AL68" s="157"/>
      <c r="AM68" s="318"/>
      <c r="AN68" s="316"/>
      <c r="AP68">
        <v>67</v>
      </c>
      <c r="AQ68" s="62" t="s">
        <v>206</v>
      </c>
      <c r="AR68" s="61">
        <v>154.9</v>
      </c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>
        <v>0.1</v>
      </c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>
        <v>11.9</v>
      </c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>
        <v>100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76" t="s">
        <v>24</v>
      </c>
      <c r="B69" s="176"/>
      <c r="C69" s="176"/>
      <c r="D69" s="176"/>
      <c r="E69" s="177"/>
      <c r="F69" s="82" t="s">
        <v>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/>
      <c r="M69" s="28">
        <f>VLOOKUP(завтрак7,таб,24,FALSE)</f>
        <v>0</v>
      </c>
      <c r="N69" s="71"/>
      <c r="O69" s="36"/>
      <c r="P69" s="35">
        <f>VLOOKUP(обед2,таб,24,FALSE)</f>
        <v>0</v>
      </c>
      <c r="Q69" s="34">
        <v>45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/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8">
        <v>613029</v>
      </c>
      <c r="AI69" s="166">
        <f>AK69/сред</f>
        <v>0.048</v>
      </c>
      <c r="AJ69" s="167"/>
      <c r="AK69" s="154">
        <f>SUM(G70:AG70)</f>
        <v>0.72</v>
      </c>
      <c r="AL69" s="155"/>
      <c r="AM69" s="317">
        <v>51.4</v>
      </c>
      <c r="AN69" s="315">
        <f>AK69*AM69</f>
        <v>37.007999999999996</v>
      </c>
      <c r="AP69">
        <v>68</v>
      </c>
      <c r="AQ69" s="62" t="s">
        <v>207</v>
      </c>
      <c r="AR69" s="61"/>
      <c r="AS69" s="61"/>
      <c r="AT69" s="61"/>
      <c r="AU69" s="61"/>
      <c r="AV69" s="61"/>
      <c r="AW69" s="61"/>
      <c r="AX69" s="61">
        <v>134.3</v>
      </c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>
        <v>0.1</v>
      </c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>
        <v>23.8</v>
      </c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>
        <v>100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76"/>
      <c r="B70" s="176"/>
      <c r="C70" s="176"/>
      <c r="D70" s="176"/>
      <c r="E70" s="177"/>
      <c r="F70" s="83" t="s">
        <v>100</v>
      </c>
      <c r="G70" s="91">
        <f aca="true" t="shared" si="68" ref="G70:M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/>
      <c r="M70" s="46">
        <f t="shared" si="68"/>
      </c>
      <c r="N70" s="72"/>
      <c r="O70" s="48"/>
      <c r="P70" s="46">
        <f aca="true" t="shared" si="69" ref="P70:V70">IF(P69=0,"",обідл*P69/1000)</f>
      </c>
      <c r="Q70" s="47">
        <f t="shared" si="69"/>
        <v>0.72</v>
      </c>
      <c r="R70" s="46"/>
      <c r="S70" s="47">
        <f t="shared" si="69"/>
      </c>
      <c r="T70" s="46">
        <f t="shared" si="69"/>
      </c>
      <c r="U70" s="47">
        <f t="shared" si="69"/>
      </c>
      <c r="V70" s="46">
        <f t="shared" si="69"/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/>
      <c r="AE70" s="47">
        <f t="shared" si="70"/>
      </c>
      <c r="AF70" s="46">
        <f t="shared" si="70"/>
      </c>
      <c r="AG70" s="72">
        <f t="shared" si="70"/>
      </c>
      <c r="AH70" s="169"/>
      <c r="AI70" s="166"/>
      <c r="AJ70" s="167"/>
      <c r="AK70" s="156"/>
      <c r="AL70" s="157"/>
      <c r="AM70" s="318"/>
      <c r="AN70" s="316"/>
      <c r="AP70">
        <v>69</v>
      </c>
      <c r="AQ70" s="62" t="s">
        <v>208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>
        <v>10</v>
      </c>
      <c r="BD70" s="61"/>
      <c r="BE70" s="61"/>
      <c r="BF70" s="61"/>
      <c r="BG70" s="61"/>
      <c r="BH70" s="61"/>
      <c r="BI70" s="61"/>
      <c r="BJ70" s="61">
        <v>0.1</v>
      </c>
      <c r="BK70" s="61"/>
      <c r="BL70" s="61">
        <v>30</v>
      </c>
      <c r="BM70" s="61"/>
      <c r="BN70" s="61"/>
      <c r="BO70" s="61">
        <v>18</v>
      </c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>
        <v>200</v>
      </c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150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78" t="s">
        <v>25</v>
      </c>
      <c r="B71" s="178"/>
      <c r="C71" s="178"/>
      <c r="D71" s="178"/>
      <c r="E71" s="179"/>
      <c r="F71" s="82" t="s">
        <v>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6</v>
      </c>
      <c r="J71" s="37">
        <f>VLOOKUP(завтрак4,таб,25,FALSE)</f>
        <v>0</v>
      </c>
      <c r="K71" s="38">
        <f>VLOOKUP(завтрак5,таб,25,FALSE)</f>
        <v>0</v>
      </c>
      <c r="L71" s="38"/>
      <c r="M71" s="28">
        <f>VLOOKUP(завтрак7,таб,25,FALSE)</f>
        <v>0</v>
      </c>
      <c r="N71" s="71"/>
      <c r="O71" s="39"/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7.2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/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8">
        <v>613036</v>
      </c>
      <c r="AI71" s="166">
        <f>AK71/сред</f>
        <v>0.01264</v>
      </c>
      <c r="AJ71" s="167"/>
      <c r="AK71" s="154">
        <f>SUM(G72:AG72)</f>
        <v>0.1896</v>
      </c>
      <c r="AL71" s="155"/>
      <c r="AM71" s="317">
        <v>21.3</v>
      </c>
      <c r="AN71" s="315">
        <f>AK71*AM71</f>
        <v>4.03848</v>
      </c>
      <c r="AP71">
        <v>70</v>
      </c>
      <c r="AQ71" s="62" t="s">
        <v>209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>
        <v>2</v>
      </c>
      <c r="BD71" s="61"/>
      <c r="BE71" s="61"/>
      <c r="BF71" s="61"/>
      <c r="BG71" s="61"/>
      <c r="BH71" s="61"/>
      <c r="BI71" s="61"/>
      <c r="BJ71" s="61">
        <v>0.1</v>
      </c>
      <c r="BK71" s="61"/>
      <c r="BL71" s="61">
        <v>20</v>
      </c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>
        <v>169.3</v>
      </c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150</v>
      </c>
      <c r="DF71" s="61"/>
      <c r="DG71" s="61"/>
      <c r="DH71" s="61"/>
      <c r="DI71" s="61">
        <v>10</v>
      </c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0"/>
      <c r="B72" s="180"/>
      <c r="C72" s="180"/>
      <c r="D72" s="180"/>
      <c r="E72" s="181"/>
      <c r="F72" s="83" t="s">
        <v>100</v>
      </c>
      <c r="G72" s="92">
        <f aca="true" t="shared" si="71" ref="G72:M72">IF(G71=0,"",завтракл*G71/1000)</f>
      </c>
      <c r="H72" s="49">
        <f t="shared" si="71"/>
      </c>
      <c r="I72" s="45">
        <f t="shared" si="71"/>
        <v>0.096</v>
      </c>
      <c r="J72" s="49">
        <f t="shared" si="71"/>
      </c>
      <c r="K72" s="45">
        <f t="shared" si="71"/>
      </c>
      <c r="L72" s="45"/>
      <c r="M72" s="46">
        <f t="shared" si="71"/>
      </c>
      <c r="N72" s="72"/>
      <c r="O72" s="50"/>
      <c r="P72" s="45">
        <f aca="true" t="shared" si="72" ref="P72:V72">IF(P71=0,"",обідл*P71/1000)</f>
      </c>
      <c r="Q72" s="49">
        <f t="shared" si="72"/>
      </c>
      <c r="R72" s="45"/>
      <c r="S72" s="49">
        <f t="shared" si="72"/>
      </c>
      <c r="T72" s="45">
        <f t="shared" si="72"/>
      </c>
      <c r="U72" s="49">
        <f t="shared" si="72"/>
      </c>
      <c r="V72" s="45">
        <f t="shared" si="72"/>
      </c>
      <c r="W72" s="45">
        <f>IF(W71=0,"",полдникл*W71/1000)</f>
        <v>0.0936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/>
      <c r="AE72" s="49">
        <f t="shared" si="73"/>
      </c>
      <c r="AF72" s="45">
        <f t="shared" si="73"/>
      </c>
      <c r="AG72" s="77">
        <f t="shared" si="73"/>
      </c>
      <c r="AH72" s="169"/>
      <c r="AI72" s="166"/>
      <c r="AJ72" s="167"/>
      <c r="AK72" s="156"/>
      <c r="AL72" s="157"/>
      <c r="AM72" s="318"/>
      <c r="AN72" s="316"/>
      <c r="AP72">
        <v>71</v>
      </c>
      <c r="AQ72" s="62" t="s">
        <v>211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>
        <v>3</v>
      </c>
      <c r="BD72" s="61"/>
      <c r="BE72" s="61"/>
      <c r="BF72" s="61"/>
      <c r="BG72" s="61">
        <v>4.5</v>
      </c>
      <c r="BH72" s="61">
        <v>46</v>
      </c>
      <c r="BI72" s="61"/>
      <c r="BJ72" s="61">
        <v>0.1</v>
      </c>
      <c r="BK72" s="61"/>
      <c r="BL72" s="61"/>
      <c r="BM72" s="61"/>
      <c r="BN72" s="61">
        <v>48</v>
      </c>
      <c r="BO72" s="61"/>
      <c r="BP72" s="61"/>
      <c r="BQ72" s="61"/>
      <c r="BR72" s="61"/>
      <c r="BS72" s="61"/>
      <c r="BT72" s="61"/>
      <c r="BU72" s="61"/>
      <c r="BV72" s="61"/>
      <c r="BW72" s="61">
        <v>6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150</v>
      </c>
      <c r="DF72" s="61"/>
      <c r="DG72" s="61"/>
      <c r="DH72" s="61"/>
      <c r="DI72" s="61">
        <v>3</v>
      </c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76" t="s">
        <v>29</v>
      </c>
      <c r="B73" s="176"/>
      <c r="C73" s="176"/>
      <c r="D73" s="176"/>
      <c r="E73" s="177"/>
      <c r="F73" s="82" t="s">
        <v>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/>
      <c r="M73" s="28">
        <f>VLOOKUP(завтрак7,таб,26,FALSE)</f>
        <v>0</v>
      </c>
      <c r="N73" s="71"/>
      <c r="O73" s="36"/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/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8"/>
      <c r="AI73" s="166">
        <f>AK73/сред</f>
        <v>0</v>
      </c>
      <c r="AJ73" s="167"/>
      <c r="AK73" s="154">
        <f>SUM(G74:AG74)</f>
        <v>0</v>
      </c>
      <c r="AL73" s="155"/>
      <c r="AM73" s="317">
        <f>IF(AK73=0,0,BP117)</f>
        <v>0</v>
      </c>
      <c r="AN73" s="315">
        <f>AK73*AM73</f>
        <v>0</v>
      </c>
      <c r="AP73">
        <v>72</v>
      </c>
      <c r="AQ73" s="61" t="s">
        <v>212</v>
      </c>
      <c r="BC73">
        <v>3</v>
      </c>
      <c r="BG73">
        <v>3</v>
      </c>
      <c r="BJ73">
        <v>0.1</v>
      </c>
      <c r="BQ73">
        <v>41</v>
      </c>
      <c r="BW73">
        <v>6</v>
      </c>
      <c r="CT73">
        <v>60</v>
      </c>
      <c r="DE73" s="61">
        <v>150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76"/>
      <c r="B74" s="176"/>
      <c r="C74" s="176"/>
      <c r="D74" s="176"/>
      <c r="E74" s="177"/>
      <c r="F74" s="83" t="s">
        <v>100</v>
      </c>
      <c r="G74" s="91">
        <f aca="true" t="shared" si="74" ref="G74:M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/>
      <c r="M74" s="46">
        <f t="shared" si="74"/>
      </c>
      <c r="N74" s="72"/>
      <c r="O74" s="48"/>
      <c r="P74" s="46">
        <f aca="true" t="shared" si="75" ref="P74:V74">IF(P73=0,"",обідл*P73/1000)</f>
      </c>
      <c r="Q74" s="47">
        <f t="shared" si="75"/>
      </c>
      <c r="R74" s="46"/>
      <c r="S74" s="47">
        <f t="shared" si="75"/>
      </c>
      <c r="T74" s="46">
        <f t="shared" si="75"/>
      </c>
      <c r="U74" s="47">
        <f t="shared" si="75"/>
      </c>
      <c r="V74" s="46">
        <f t="shared" si="75"/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/>
      <c r="AE74" s="47">
        <f t="shared" si="76"/>
      </c>
      <c r="AF74" s="46">
        <f t="shared" si="76"/>
      </c>
      <c r="AG74" s="72">
        <f t="shared" si="76"/>
      </c>
      <c r="AH74" s="169"/>
      <c r="AI74" s="166"/>
      <c r="AJ74" s="167"/>
      <c r="AK74" s="156"/>
      <c r="AL74" s="157"/>
      <c r="AM74" s="318"/>
      <c r="AN74" s="316"/>
      <c r="AP74">
        <v>73</v>
      </c>
      <c r="AQ74" s="62" t="s">
        <v>213</v>
      </c>
      <c r="AR74" s="61"/>
      <c r="AS74" s="61"/>
      <c r="AT74" s="61"/>
      <c r="AU74" s="61"/>
      <c r="AV74" s="61"/>
      <c r="AW74" s="61"/>
      <c r="AX74" s="61">
        <v>156.9</v>
      </c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>
        <v>12.2</v>
      </c>
      <c r="CJ74" s="61">
        <v>14.8</v>
      </c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100</v>
      </c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76" t="s">
        <v>65</v>
      </c>
      <c r="B75" s="176"/>
      <c r="C75" s="176"/>
      <c r="D75" s="176"/>
      <c r="E75" s="177"/>
      <c r="F75" s="82" t="s">
        <v>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/>
      <c r="M75" s="28">
        <f>VLOOKUP(завтрак7,таб,73,FALSE)</f>
        <v>0</v>
      </c>
      <c r="N75" s="71"/>
      <c r="O75" s="36"/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/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8"/>
      <c r="AI75" s="166">
        <f>AK75/сред</f>
        <v>0</v>
      </c>
      <c r="AJ75" s="167"/>
      <c r="AK75" s="154">
        <f>SUM(G76:AG76)</f>
        <v>0</v>
      </c>
      <c r="AL75" s="155"/>
      <c r="AM75" s="317">
        <f>IF(AK75=0,0,DK117)</f>
        <v>0</v>
      </c>
      <c r="AN75" s="315">
        <f>AK75*AM75</f>
        <v>0</v>
      </c>
      <c r="AP75">
        <v>74</v>
      </c>
      <c r="AQ75" s="62" t="s">
        <v>214</v>
      </c>
      <c r="AR75" s="61">
        <v>132</v>
      </c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>
        <v>25</v>
      </c>
      <c r="BH75" s="61"/>
      <c r="BI75" s="61"/>
      <c r="BJ75" s="61"/>
      <c r="BK75" s="61"/>
      <c r="BL75" s="61">
        <v>2</v>
      </c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>
        <v>3.1</v>
      </c>
      <c r="CJ75" s="61">
        <v>20</v>
      </c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120</v>
      </c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76"/>
      <c r="B76" s="176"/>
      <c r="C76" s="176"/>
      <c r="D76" s="176"/>
      <c r="E76" s="177"/>
      <c r="F76" s="83" t="s">
        <v>100</v>
      </c>
      <c r="G76" s="91">
        <f aca="true" t="shared" si="77" ref="G76:M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/>
      <c r="M76" s="46">
        <f t="shared" si="77"/>
      </c>
      <c r="N76" s="72"/>
      <c r="O76" s="48"/>
      <c r="P76" s="46">
        <f aca="true" t="shared" si="78" ref="P76:V76">IF(P75=0,"",обідл*P75/1000)</f>
      </c>
      <c r="Q76" s="47">
        <f t="shared" si="78"/>
      </c>
      <c r="R76" s="46"/>
      <c r="S76" s="47">
        <f t="shared" si="78"/>
      </c>
      <c r="T76" s="46">
        <f t="shared" si="78"/>
      </c>
      <c r="U76" s="47">
        <f t="shared" si="78"/>
      </c>
      <c r="V76" s="46">
        <f t="shared" si="78"/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/>
      <c r="AE76" s="47">
        <f t="shared" si="79"/>
      </c>
      <c r="AF76" s="46">
        <f t="shared" si="79"/>
      </c>
      <c r="AG76" s="72">
        <f t="shared" si="79"/>
      </c>
      <c r="AH76" s="169"/>
      <c r="AI76" s="166"/>
      <c r="AJ76" s="167"/>
      <c r="AK76" s="156"/>
      <c r="AL76" s="157"/>
      <c r="AM76" s="318"/>
      <c r="AN76" s="316"/>
      <c r="AP76">
        <v>75</v>
      </c>
      <c r="AQ76" s="62" t="s">
        <v>215</v>
      </c>
      <c r="AR76" s="61">
        <v>110</v>
      </c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>
        <v>2</v>
      </c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>
        <v>50.7</v>
      </c>
      <c r="CJ76" s="61">
        <v>53.7</v>
      </c>
      <c r="CK76" s="61"/>
      <c r="CL76" s="61"/>
      <c r="CM76" s="61"/>
      <c r="CN76" s="61">
        <v>12</v>
      </c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100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78" t="s">
        <v>66</v>
      </c>
      <c r="B77" s="178"/>
      <c r="C77" s="178"/>
      <c r="D77" s="178"/>
      <c r="E77" s="179"/>
      <c r="F77" s="82" t="s">
        <v>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/>
      <c r="M77" s="28">
        <f>VLOOKUP(завтрак7,таб,72,FALSE)</f>
        <v>0</v>
      </c>
      <c r="N77" s="71"/>
      <c r="O77" s="39"/>
      <c r="P77" s="38"/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/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8"/>
      <c r="AI77" s="166">
        <f>AK77/сред</f>
        <v>0</v>
      </c>
      <c r="AJ77" s="167"/>
      <c r="AK77" s="154">
        <f>SUM(G78:AG78)</f>
        <v>0</v>
      </c>
      <c r="AL77" s="155"/>
      <c r="AM77" s="317">
        <f>IF(AK77=0,0,DJ117)</f>
        <v>0</v>
      </c>
      <c r="AN77" s="315">
        <f>AK77*AM77</f>
        <v>0</v>
      </c>
      <c r="AP77">
        <v>76</v>
      </c>
      <c r="AQ77" s="62" t="s">
        <v>429</v>
      </c>
      <c r="AR77" s="61"/>
      <c r="AS77" s="61">
        <v>54.3</v>
      </c>
      <c r="AT77" s="61"/>
      <c r="AU77" s="61"/>
      <c r="AV77" s="61"/>
      <c r="AW77" s="61"/>
      <c r="AX77" s="61"/>
      <c r="AY77" s="61"/>
      <c r="AZ77" s="61"/>
      <c r="BA77" s="61"/>
      <c r="BB77" s="61"/>
      <c r="BC77" s="61">
        <v>6.9</v>
      </c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>
        <v>333.3</v>
      </c>
      <c r="CH77" s="61"/>
      <c r="CI77" s="61">
        <v>48.2</v>
      </c>
      <c r="CJ77" s="61"/>
      <c r="CK77" s="61"/>
      <c r="CL77" s="61"/>
      <c r="CM77" s="61">
        <v>7</v>
      </c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0"/>
      <c r="B78" s="180"/>
      <c r="C78" s="180"/>
      <c r="D78" s="180"/>
      <c r="E78" s="181"/>
      <c r="F78" s="83" t="s">
        <v>100</v>
      </c>
      <c r="G78" s="92">
        <f aca="true" t="shared" si="80" ref="G78:M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/>
      <c r="M78" s="46">
        <f t="shared" si="80"/>
      </c>
      <c r="N78" s="72"/>
      <c r="O78" s="50"/>
      <c r="P78" s="45">
        <f aca="true" t="shared" si="81" ref="P78:V78">IF(P77=0,"",обідл*P77/1000)</f>
      </c>
      <c r="Q78" s="49">
        <f t="shared" si="81"/>
      </c>
      <c r="R78" s="45"/>
      <c r="S78" s="49">
        <f t="shared" si="81"/>
      </c>
      <c r="T78" s="45">
        <f t="shared" si="81"/>
      </c>
      <c r="U78" s="49">
        <f t="shared" si="81"/>
      </c>
      <c r="V78" s="45">
        <f t="shared" si="81"/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/>
      <c r="AE78" s="49">
        <f t="shared" si="82"/>
      </c>
      <c r="AF78" s="45">
        <f t="shared" si="82"/>
      </c>
      <c r="AG78" s="77">
        <f t="shared" si="82"/>
      </c>
      <c r="AH78" s="169"/>
      <c r="AI78" s="166"/>
      <c r="AJ78" s="167"/>
      <c r="AK78" s="156"/>
      <c r="AL78" s="157"/>
      <c r="AM78" s="318"/>
      <c r="AN78" s="316"/>
      <c r="AP78">
        <v>77</v>
      </c>
      <c r="AQ78" s="62" t="s">
        <v>216</v>
      </c>
      <c r="AR78" s="61"/>
      <c r="AS78" s="61"/>
      <c r="AT78" s="61">
        <v>150.6</v>
      </c>
      <c r="AU78" s="61"/>
      <c r="AV78" s="61"/>
      <c r="AW78" s="61"/>
      <c r="AX78" s="61"/>
      <c r="AY78" s="61"/>
      <c r="AZ78" s="61">
        <v>4</v>
      </c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>
        <v>24</v>
      </c>
      <c r="CJ78" s="61">
        <v>5.3</v>
      </c>
      <c r="CK78" s="61"/>
      <c r="CL78" s="61"/>
      <c r="CM78" s="61">
        <v>2.7</v>
      </c>
      <c r="CN78" s="61"/>
      <c r="CO78" s="61">
        <v>12.5</v>
      </c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76" t="s">
        <v>67</v>
      </c>
      <c r="B79" s="176"/>
      <c r="C79" s="176"/>
      <c r="D79" s="176"/>
      <c r="E79" s="177"/>
      <c r="F79" s="82" t="s">
        <v>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/>
      <c r="M79" s="28">
        <f>VLOOKUP(завтрак7,таб,74,FALSE)</f>
        <v>0</v>
      </c>
      <c r="N79" s="71"/>
      <c r="O79" s="36"/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/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8">
        <v>613052</v>
      </c>
      <c r="AI79" s="166">
        <f>AK79/сред</f>
        <v>0</v>
      </c>
      <c r="AJ79" s="167"/>
      <c r="AK79" s="154">
        <f>SUM(G80:AG80)</f>
        <v>0</v>
      </c>
      <c r="AL79" s="155"/>
      <c r="AM79" s="317">
        <f>IF(AK79=0,0,DL117)</f>
        <v>0</v>
      </c>
      <c r="AN79" s="315">
        <f>AK79*AM79</f>
        <v>0</v>
      </c>
      <c r="AP79">
        <v>78</v>
      </c>
      <c r="AQ79" s="61" t="s">
        <v>217</v>
      </c>
      <c r="AZ79">
        <v>7</v>
      </c>
      <c r="BR79">
        <v>40</v>
      </c>
      <c r="BW79">
        <v>7</v>
      </c>
      <c r="CC79">
        <v>10</v>
      </c>
      <c r="CF79">
        <v>36</v>
      </c>
      <c r="DE79" s="61">
        <v>200</v>
      </c>
      <c r="DM79">
        <v>15</v>
      </c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76"/>
      <c r="B80" s="176"/>
      <c r="C80" s="176"/>
      <c r="D80" s="176"/>
      <c r="E80" s="177"/>
      <c r="F80" s="83" t="s">
        <v>100</v>
      </c>
      <c r="G80" s="91">
        <f aca="true" t="shared" si="83" ref="G80:M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/>
      <c r="M80" s="46">
        <f t="shared" si="83"/>
      </c>
      <c r="N80" s="72"/>
      <c r="O80" s="48"/>
      <c r="P80" s="46">
        <f aca="true" t="shared" si="84" ref="P80:V80">IF(P79=0,"",обідл*P79/1000)</f>
      </c>
      <c r="Q80" s="47">
        <f t="shared" si="84"/>
      </c>
      <c r="R80" s="46"/>
      <c r="S80" s="47">
        <f t="shared" si="84"/>
      </c>
      <c r="T80" s="46">
        <f t="shared" si="84"/>
      </c>
      <c r="U80" s="47">
        <f t="shared" si="84"/>
      </c>
      <c r="V80" s="46">
        <f t="shared" si="84"/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/>
      <c r="AE80" s="47">
        <f t="shared" si="85"/>
      </c>
      <c r="AF80" s="46">
        <f t="shared" si="85"/>
      </c>
      <c r="AG80" s="72">
        <f t="shared" si="85"/>
      </c>
      <c r="AH80" s="169"/>
      <c r="AI80" s="166"/>
      <c r="AJ80" s="167"/>
      <c r="AK80" s="156"/>
      <c r="AL80" s="157"/>
      <c r="AM80" s="318"/>
      <c r="AN80" s="316"/>
      <c r="AP80">
        <v>79</v>
      </c>
      <c r="AQ80" s="62" t="s">
        <v>218</v>
      </c>
      <c r="AR80" s="61"/>
      <c r="AS80" s="61"/>
      <c r="AT80" s="61">
        <v>83.3</v>
      </c>
      <c r="AU80" s="61"/>
      <c r="AV80" s="61">
        <v>118.5</v>
      </c>
      <c r="AW80" s="61"/>
      <c r="AX80" s="61"/>
      <c r="AY80" s="61"/>
      <c r="AZ80" s="61"/>
      <c r="BA80" s="61"/>
      <c r="BB80" s="61"/>
      <c r="BC80" s="61">
        <v>5</v>
      </c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>
        <v>42.1</v>
      </c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78" t="s">
        <v>26</v>
      </c>
      <c r="B81" s="178"/>
      <c r="C81" s="178"/>
      <c r="D81" s="178"/>
      <c r="E81" s="179"/>
      <c r="F81" s="82" t="s">
        <v>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/>
      <c r="M81" s="28">
        <f>VLOOKUP(завтрак7,таб,27,FALSE)</f>
        <v>0</v>
      </c>
      <c r="N81" s="71"/>
      <c r="O81" s="39"/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/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8">
        <v>603015</v>
      </c>
      <c r="AI81" s="166">
        <f>AK81/сред</f>
        <v>0</v>
      </c>
      <c r="AJ81" s="167"/>
      <c r="AK81" s="154">
        <f>SUM(G82:AG82)</f>
        <v>0</v>
      </c>
      <c r="AL81" s="155"/>
      <c r="AM81" s="317">
        <f>IF(AK81=0,0,BQ117)</f>
        <v>0</v>
      </c>
      <c r="AN81" s="315">
        <f>AK81*AM81</f>
        <v>0</v>
      </c>
      <c r="AP81">
        <v>80</v>
      </c>
      <c r="AQ81" s="62" t="s">
        <v>219</v>
      </c>
      <c r="AR81" s="61">
        <v>33.8</v>
      </c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>
        <v>4</v>
      </c>
      <c r="BD81" s="61"/>
      <c r="BE81" s="61"/>
      <c r="BF81" s="61"/>
      <c r="BG81" s="61"/>
      <c r="BH81" s="61"/>
      <c r="BI81" s="61"/>
      <c r="BJ81" s="61"/>
      <c r="BK81" s="61"/>
      <c r="BL81" s="61">
        <v>4</v>
      </c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>
        <v>2</v>
      </c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>
        <v>12.5</v>
      </c>
      <c r="CJ81" s="61"/>
      <c r="CK81" s="61"/>
      <c r="CL81" s="61"/>
      <c r="CM81" s="61"/>
      <c r="CN81" s="61"/>
      <c r="CO81" s="61">
        <v>57.5</v>
      </c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0"/>
      <c r="B82" s="180"/>
      <c r="C82" s="180"/>
      <c r="D82" s="180"/>
      <c r="E82" s="181"/>
      <c r="F82" s="83" t="s">
        <v>100</v>
      </c>
      <c r="G82" s="92">
        <f aca="true" t="shared" si="86" ref="G82:M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/>
      <c r="M82" s="46">
        <f t="shared" si="86"/>
      </c>
      <c r="N82" s="72"/>
      <c r="O82" s="50"/>
      <c r="P82" s="45">
        <f aca="true" t="shared" si="87" ref="P82:V82">IF(P81=0,"",обідл*P81/1000)</f>
      </c>
      <c r="Q82" s="49">
        <f t="shared" si="87"/>
      </c>
      <c r="R82" s="45"/>
      <c r="S82" s="49">
        <f t="shared" si="87"/>
      </c>
      <c r="T82" s="45">
        <f t="shared" si="87"/>
      </c>
      <c r="U82" s="49">
        <f t="shared" si="87"/>
      </c>
      <c r="V82" s="45">
        <f t="shared" si="87"/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/>
      <c r="AE82" s="49">
        <f t="shared" si="88"/>
      </c>
      <c r="AF82" s="45">
        <f t="shared" si="88"/>
      </c>
      <c r="AG82" s="77">
        <f t="shared" si="88"/>
      </c>
      <c r="AH82" s="169"/>
      <c r="AI82" s="166"/>
      <c r="AJ82" s="167"/>
      <c r="AK82" s="156"/>
      <c r="AL82" s="157"/>
      <c r="AM82" s="318"/>
      <c r="AN82" s="316"/>
      <c r="AP82">
        <v>81</v>
      </c>
      <c r="AQ82" s="62" t="s">
        <v>220</v>
      </c>
      <c r="AR82" s="61"/>
      <c r="AS82" s="61"/>
      <c r="AT82" s="61"/>
      <c r="AU82" s="61"/>
      <c r="AV82" s="61"/>
      <c r="AW82" s="61"/>
      <c r="AX82" s="61">
        <v>116</v>
      </c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>
        <v>0.1</v>
      </c>
      <c r="BK82" s="61"/>
      <c r="BL82" s="61">
        <v>2</v>
      </c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100</v>
      </c>
      <c r="DF82" s="61"/>
      <c r="DG82" s="61"/>
      <c r="DH82" s="61"/>
      <c r="DI82" s="61">
        <v>2.5</v>
      </c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76" t="s">
        <v>28</v>
      </c>
      <c r="B83" s="176"/>
      <c r="C83" s="176"/>
      <c r="D83" s="176"/>
      <c r="E83" s="177"/>
      <c r="F83" s="82" t="s">
        <v>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/>
      <c r="M83" s="28">
        <f>VLOOKUP(завтрак7,таб,28,FALSE)</f>
        <v>0</v>
      </c>
      <c r="N83" s="71"/>
      <c r="O83" s="36"/>
      <c r="P83" s="35">
        <v>10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53.6</v>
      </c>
      <c r="AC83" s="34">
        <f>VLOOKUP(ужин4,таб,28,FALSE)</f>
        <v>0</v>
      </c>
      <c r="AD83" s="35"/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8">
        <v>613046</v>
      </c>
      <c r="AI83" s="166">
        <f>AK83/сред</f>
        <v>0.05712000000000001</v>
      </c>
      <c r="AJ83" s="167"/>
      <c r="AK83" s="154">
        <f>SUM(G84:AG84)</f>
        <v>0.8568000000000001</v>
      </c>
      <c r="AL83" s="155"/>
      <c r="AM83" s="317">
        <v>28.1</v>
      </c>
      <c r="AN83" s="315">
        <f>AK83*AM83</f>
        <v>24.076080000000005</v>
      </c>
      <c r="AP83">
        <v>82</v>
      </c>
      <c r="AQ83" s="62" t="s">
        <v>221</v>
      </c>
      <c r="AR83" s="61"/>
      <c r="AS83" s="61"/>
      <c r="AT83" s="61"/>
      <c r="AU83" s="61"/>
      <c r="AV83" s="61"/>
      <c r="AW83" s="61"/>
      <c r="AX83" s="61">
        <v>126</v>
      </c>
      <c r="AY83" s="61"/>
      <c r="AZ83" s="61"/>
      <c r="BA83" s="61"/>
      <c r="BB83" s="61"/>
      <c r="BC83" s="61">
        <v>5</v>
      </c>
      <c r="BD83" s="61"/>
      <c r="BE83" s="61"/>
      <c r="BF83" s="61"/>
      <c r="BG83" s="61"/>
      <c r="BH83" s="61"/>
      <c r="BI83" s="61"/>
      <c r="BJ83" s="61"/>
      <c r="BK83" s="61"/>
      <c r="BL83" s="61">
        <v>10</v>
      </c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100</v>
      </c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76"/>
      <c r="B84" s="176"/>
      <c r="C84" s="176"/>
      <c r="D84" s="176"/>
      <c r="E84" s="177"/>
      <c r="F84" s="83" t="s">
        <v>100</v>
      </c>
      <c r="G84" s="91">
        <f aca="true" t="shared" si="89" ref="G84:M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/>
      <c r="M84" s="46">
        <f t="shared" si="89"/>
      </c>
      <c r="N84" s="72"/>
      <c r="O84" s="48"/>
      <c r="P84" s="46">
        <f aca="true" t="shared" si="90" ref="P84:V84">IF(P83=0,"",обідл*P83/1000)</f>
        <v>0.16</v>
      </c>
      <c r="Q84" s="47">
        <f t="shared" si="90"/>
      </c>
      <c r="R84" s="46"/>
      <c r="S84" s="47">
        <f t="shared" si="90"/>
      </c>
      <c r="T84" s="46">
        <f t="shared" si="90"/>
      </c>
      <c r="U84" s="47">
        <f t="shared" si="90"/>
      </c>
      <c r="V84" s="46">
        <f t="shared" si="90"/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  <v>0.6968000000000001</v>
      </c>
      <c r="AC84" s="47">
        <f t="shared" si="91"/>
      </c>
      <c r="AD84" s="46"/>
      <c r="AE84" s="47">
        <f t="shared" si="91"/>
      </c>
      <c r="AF84" s="46">
        <f t="shared" si="91"/>
      </c>
      <c r="AG84" s="72">
        <f t="shared" si="91"/>
      </c>
      <c r="AH84" s="169"/>
      <c r="AI84" s="166"/>
      <c r="AJ84" s="167"/>
      <c r="AK84" s="156"/>
      <c r="AL84" s="157"/>
      <c r="AM84" s="318"/>
      <c r="AN84" s="316"/>
      <c r="AP84">
        <v>83</v>
      </c>
      <c r="AQ84" s="62" t="s">
        <v>222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>
        <v>9</v>
      </c>
      <c r="BD84" s="61"/>
      <c r="BE84" s="61"/>
      <c r="BF84" s="61"/>
      <c r="BG84" s="61"/>
      <c r="BH84" s="61"/>
      <c r="BI84" s="61"/>
      <c r="BJ84" s="61">
        <v>0.1</v>
      </c>
      <c r="BK84" s="61"/>
      <c r="BL84" s="61">
        <v>46.8</v>
      </c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>
        <v>12.5</v>
      </c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>
        <v>126</v>
      </c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150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78" t="s">
        <v>27</v>
      </c>
      <c r="B85" s="178"/>
      <c r="C85" s="178"/>
      <c r="D85" s="178"/>
      <c r="E85" s="179"/>
      <c r="F85" s="82" t="s">
        <v>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/>
      <c r="M85" s="28">
        <f>VLOOKUP(завтрак7,таб,29,FALSE)</f>
        <v>0</v>
      </c>
      <c r="N85" s="71"/>
      <c r="O85" s="39"/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/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8">
        <v>613052</v>
      </c>
      <c r="AI85" s="166">
        <f>AK85/сред</f>
        <v>0</v>
      </c>
      <c r="AJ85" s="167"/>
      <c r="AK85" s="154">
        <f>SUM(G86:AG86)</f>
        <v>0</v>
      </c>
      <c r="AL85" s="155"/>
      <c r="AM85" s="317">
        <f>IF(AK85=0,0,BS117)</f>
        <v>0</v>
      </c>
      <c r="AN85" s="315">
        <f>AK85*AM85</f>
        <v>0</v>
      </c>
      <c r="AP85">
        <v>84</v>
      </c>
      <c r="AQ85" s="62" t="s">
        <v>223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>
        <v>128</v>
      </c>
      <c r="BE85" s="61"/>
      <c r="BF85" s="61"/>
      <c r="BG85" s="61"/>
      <c r="BH85" s="61"/>
      <c r="BI85" s="61"/>
      <c r="BJ85" s="61"/>
      <c r="BK85" s="61"/>
      <c r="BL85" s="61"/>
      <c r="BM85" s="61">
        <v>15</v>
      </c>
      <c r="BN85" s="61"/>
      <c r="BO85" s="61"/>
      <c r="BP85" s="61"/>
      <c r="BQ85" s="61"/>
      <c r="BR85" s="61"/>
      <c r="BS85" s="61"/>
      <c r="BT85" s="61"/>
      <c r="BU85" s="61"/>
      <c r="BV85" s="61"/>
      <c r="BW85" s="61">
        <v>12.8</v>
      </c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0"/>
      <c r="B86" s="180"/>
      <c r="C86" s="180"/>
      <c r="D86" s="180"/>
      <c r="E86" s="181"/>
      <c r="F86" s="83" t="s">
        <v>100</v>
      </c>
      <c r="G86" s="92">
        <f aca="true" t="shared" si="92" ref="G86:M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/>
      <c r="M86" s="46">
        <f t="shared" si="92"/>
      </c>
      <c r="N86" s="72"/>
      <c r="O86" s="50"/>
      <c r="P86" s="45">
        <f aca="true" t="shared" si="93" ref="P86:V86">IF(P85=0,"",обідл*P85/1000)</f>
      </c>
      <c r="Q86" s="49">
        <f t="shared" si="93"/>
      </c>
      <c r="R86" s="45"/>
      <c r="S86" s="49">
        <f t="shared" si="93"/>
      </c>
      <c r="T86" s="45">
        <f t="shared" si="93"/>
      </c>
      <c r="U86" s="49">
        <f t="shared" si="93"/>
      </c>
      <c r="V86" s="45">
        <f t="shared" si="93"/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/>
      <c r="AE86" s="49">
        <f t="shared" si="94"/>
      </c>
      <c r="AF86" s="45">
        <f t="shared" si="94"/>
      </c>
      <c r="AG86" s="77">
        <f t="shared" si="94"/>
      </c>
      <c r="AH86" s="169"/>
      <c r="AI86" s="166"/>
      <c r="AJ86" s="167"/>
      <c r="AK86" s="156"/>
      <c r="AL86" s="157"/>
      <c r="AM86" s="318"/>
      <c r="AN86" s="316"/>
      <c r="AP86">
        <v>85</v>
      </c>
      <c r="AQ86" s="62" t="s">
        <v>224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>
        <v>100</v>
      </c>
      <c r="BE86" s="61"/>
      <c r="BF86" s="61"/>
      <c r="BG86" s="61"/>
      <c r="BH86" s="61"/>
      <c r="BI86" s="61"/>
      <c r="BJ86" s="61">
        <v>0.2</v>
      </c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>
        <v>10</v>
      </c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>
        <v>30</v>
      </c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150</v>
      </c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76" t="s">
        <v>130</v>
      </c>
      <c r="B87" s="176"/>
      <c r="C87" s="176"/>
      <c r="D87" s="176"/>
      <c r="E87" s="177"/>
      <c r="F87" s="82" t="s">
        <v>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/>
      <c r="M87" s="28">
        <f>VLOOKUP(завтрак7,таб,30,FALSE)</f>
        <v>0</v>
      </c>
      <c r="N87" s="71"/>
      <c r="O87" s="36"/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/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8">
        <v>613068</v>
      </c>
      <c r="AI87" s="166">
        <f>AK87/сред</f>
        <v>0</v>
      </c>
      <c r="AJ87" s="167"/>
      <c r="AK87" s="154">
        <f>SUM(G88:AG88)</f>
        <v>0</v>
      </c>
      <c r="AL87" s="155"/>
      <c r="AM87" s="317">
        <f>IF(AK87=0,0,BT117)</f>
        <v>0</v>
      </c>
      <c r="AN87" s="315">
        <f>AK87*AM87</f>
        <v>0</v>
      </c>
      <c r="AP87">
        <v>86</v>
      </c>
      <c r="AQ87" s="62" t="s">
        <v>225</v>
      </c>
      <c r="AR87" s="61"/>
      <c r="AS87" s="61"/>
      <c r="AT87" s="61">
        <v>50</v>
      </c>
      <c r="AU87" s="61"/>
      <c r="AV87" s="61"/>
      <c r="AW87" s="61"/>
      <c r="AX87" s="61"/>
      <c r="AY87" s="61"/>
      <c r="AZ87" s="61"/>
      <c r="BA87" s="61"/>
      <c r="BB87" s="61"/>
      <c r="BC87" s="61">
        <v>4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>
        <v>61.2</v>
      </c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>
        <v>35</v>
      </c>
      <c r="CJ87" s="61">
        <v>25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200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76"/>
      <c r="B88" s="176"/>
      <c r="C88" s="176"/>
      <c r="D88" s="176"/>
      <c r="E88" s="177"/>
      <c r="F88" s="83" t="s">
        <v>100</v>
      </c>
      <c r="G88" s="91">
        <f aca="true" t="shared" si="95" ref="G88:M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/>
      <c r="M88" s="46">
        <f t="shared" si="95"/>
      </c>
      <c r="N88" s="72"/>
      <c r="O88" s="48"/>
      <c r="P88" s="46">
        <f aca="true" t="shared" si="96" ref="P88:V88">IF(P87=0,"",обідл*P87/1000)</f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 t="shared" si="96"/>
      </c>
      <c r="V88" s="46">
        <f t="shared" si="96"/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/>
      <c r="AE88" s="47">
        <f t="shared" si="97"/>
      </c>
      <c r="AF88" s="46">
        <f t="shared" si="97"/>
      </c>
      <c r="AG88" s="72">
        <f t="shared" si="97"/>
      </c>
      <c r="AH88" s="169"/>
      <c r="AI88" s="166"/>
      <c r="AJ88" s="167"/>
      <c r="AK88" s="156"/>
      <c r="AL88" s="157"/>
      <c r="AM88" s="318"/>
      <c r="AN88" s="316"/>
      <c r="AP88">
        <v>87</v>
      </c>
      <c r="AQ88" s="62" t="s">
        <v>226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>
        <v>33</v>
      </c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17.6</v>
      </c>
      <c r="BX88" s="61"/>
      <c r="BY88" s="61"/>
      <c r="BZ88" s="61"/>
      <c r="CA88" s="61"/>
      <c r="CB88" s="61"/>
      <c r="CC88" s="61"/>
      <c r="CD88" s="61"/>
      <c r="CE88" s="61"/>
      <c r="CF88" s="61">
        <v>100</v>
      </c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>
        <v>100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5">
        <v>1</v>
      </c>
      <c r="B89" s="235"/>
      <c r="C89" s="235"/>
      <c r="D89" s="235"/>
      <c r="E89" s="236"/>
      <c r="F89" s="187">
        <v>2</v>
      </c>
      <c r="G89" s="182">
        <v>3</v>
      </c>
      <c r="H89" s="174">
        <v>4</v>
      </c>
      <c r="I89" s="174">
        <v>5</v>
      </c>
      <c r="J89" s="174">
        <v>6</v>
      </c>
      <c r="K89" s="174">
        <v>7</v>
      </c>
      <c r="L89" s="174">
        <v>8</v>
      </c>
      <c r="M89" s="174">
        <v>9</v>
      </c>
      <c r="N89" s="223">
        <v>10</v>
      </c>
      <c r="O89" s="214">
        <v>11</v>
      </c>
      <c r="P89" s="174">
        <v>12</v>
      </c>
      <c r="Q89" s="174">
        <v>13</v>
      </c>
      <c r="R89" s="174">
        <v>14</v>
      </c>
      <c r="S89" s="174">
        <v>15</v>
      </c>
      <c r="T89" s="174">
        <v>16</v>
      </c>
      <c r="U89" s="174">
        <v>17</v>
      </c>
      <c r="V89" s="174">
        <v>18</v>
      </c>
      <c r="W89" s="174">
        <v>19</v>
      </c>
      <c r="X89" s="174">
        <v>20</v>
      </c>
      <c r="Y89" s="223">
        <v>21</v>
      </c>
      <c r="Z89" s="214">
        <v>22</v>
      </c>
      <c r="AA89" s="174">
        <v>23</v>
      </c>
      <c r="AB89" s="174">
        <v>24</v>
      </c>
      <c r="AC89" s="174">
        <v>25</v>
      </c>
      <c r="AD89" s="174"/>
      <c r="AE89" s="174">
        <v>27</v>
      </c>
      <c r="AF89" s="174">
        <v>28</v>
      </c>
      <c r="AG89" s="223">
        <v>29</v>
      </c>
      <c r="AH89" s="168"/>
      <c r="AI89" s="166"/>
      <c r="AJ89" s="167"/>
      <c r="AK89" s="154"/>
      <c r="AL89" s="155"/>
      <c r="AM89" s="317"/>
      <c r="AN89" s="315"/>
      <c r="AP89">
        <v>88</v>
      </c>
      <c r="AQ89" s="62" t="s">
        <v>228</v>
      </c>
      <c r="AR89" s="61"/>
      <c r="AS89" s="61"/>
      <c r="AT89" s="61"/>
      <c r="AU89" s="61"/>
      <c r="AV89" s="61"/>
      <c r="AW89" s="61"/>
      <c r="AX89" s="61"/>
      <c r="AY89" s="61">
        <v>24</v>
      </c>
      <c r="AZ89" s="61">
        <v>3</v>
      </c>
      <c r="BA89" s="61"/>
      <c r="BB89" s="61"/>
      <c r="BC89" s="61">
        <v>1.5</v>
      </c>
      <c r="BD89" s="61"/>
      <c r="BE89" s="61"/>
      <c r="BF89" s="61">
        <v>105</v>
      </c>
      <c r="BG89" s="61"/>
      <c r="BH89" s="61"/>
      <c r="BI89" s="61"/>
      <c r="BJ89" s="61"/>
      <c r="BK89" s="61"/>
      <c r="BL89" s="61">
        <v>7</v>
      </c>
      <c r="BM89" s="61"/>
      <c r="BN89" s="61"/>
      <c r="BO89" s="61">
        <v>30</v>
      </c>
      <c r="BP89" s="61"/>
      <c r="BQ89" s="61"/>
      <c r="BR89" s="61"/>
      <c r="BS89" s="61"/>
      <c r="BT89" s="61"/>
      <c r="BU89" s="61"/>
      <c r="BV89" s="61"/>
      <c r="BW89" s="61">
        <v>4</v>
      </c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150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5"/>
      <c r="B90" s="235"/>
      <c r="C90" s="235"/>
      <c r="D90" s="235"/>
      <c r="E90" s="236"/>
      <c r="F90" s="188"/>
      <c r="G90" s="183"/>
      <c r="H90" s="175"/>
      <c r="I90" s="175"/>
      <c r="J90" s="175"/>
      <c r="K90" s="175"/>
      <c r="L90" s="175"/>
      <c r="M90" s="175"/>
      <c r="N90" s="224"/>
      <c r="O90" s="215"/>
      <c r="P90" s="175"/>
      <c r="Q90" s="175"/>
      <c r="R90" s="175"/>
      <c r="S90" s="175"/>
      <c r="T90" s="175"/>
      <c r="U90" s="175"/>
      <c r="V90" s="175"/>
      <c r="W90" s="175"/>
      <c r="X90" s="175"/>
      <c r="Y90" s="224"/>
      <c r="Z90" s="215"/>
      <c r="AA90" s="175"/>
      <c r="AB90" s="175"/>
      <c r="AC90" s="175"/>
      <c r="AD90" s="175"/>
      <c r="AE90" s="175"/>
      <c r="AF90" s="175"/>
      <c r="AG90" s="224"/>
      <c r="AH90" s="169"/>
      <c r="AI90" s="166"/>
      <c r="AJ90" s="167"/>
      <c r="AK90" s="156"/>
      <c r="AL90" s="157"/>
      <c r="AM90" s="318"/>
      <c r="AN90" s="316"/>
      <c r="AP90">
        <v>89</v>
      </c>
      <c r="AQ90" s="62" t="s">
        <v>230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>
        <v>9</v>
      </c>
      <c r="BD90" s="61">
        <v>60</v>
      </c>
      <c r="BE90" s="61"/>
      <c r="BF90" s="61"/>
      <c r="BG90" s="61"/>
      <c r="BH90" s="61"/>
      <c r="BI90" s="61"/>
      <c r="BJ90" s="61">
        <v>0.1</v>
      </c>
      <c r="BK90" s="61"/>
      <c r="BL90" s="61">
        <v>40.5</v>
      </c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>
        <v>4.5</v>
      </c>
      <c r="BX90" s="61"/>
      <c r="BY90" s="61"/>
      <c r="BZ90" s="61"/>
      <c r="CA90" s="61"/>
      <c r="CB90" s="61"/>
      <c r="CC90" s="61"/>
      <c r="CD90" s="61"/>
      <c r="CE90" s="61"/>
      <c r="CF90" s="61">
        <v>58.5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>
        <v>15</v>
      </c>
      <c r="CW90" s="61"/>
      <c r="CX90" s="61"/>
      <c r="CY90" s="61"/>
      <c r="CZ90" s="61"/>
      <c r="DA90" s="61"/>
      <c r="DB90" s="61"/>
      <c r="DC90" s="61"/>
      <c r="DD90" s="61">
        <v>0.5</v>
      </c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78" t="s">
        <v>0</v>
      </c>
      <c r="B91" s="178"/>
      <c r="C91" s="178"/>
      <c r="D91" s="178"/>
      <c r="E91" s="179"/>
      <c r="F91" s="82" t="s">
        <v>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/>
      <c r="M91" s="28">
        <f>VLOOKUP(завтрак7,таб,31,FALSE)</f>
        <v>0</v>
      </c>
      <c r="N91" s="71"/>
      <c r="O91" s="39"/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/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8">
        <v>613072</v>
      </c>
      <c r="AI91" s="225">
        <f>AK91/сред</f>
        <v>0</v>
      </c>
      <c r="AJ91" s="226"/>
      <c r="AK91" s="154">
        <f>SUM(G92:AG92)</f>
        <v>0</v>
      </c>
      <c r="AL91" s="155"/>
      <c r="AM91" s="317">
        <f>IF(AK91=0,0,BU117)</f>
        <v>0</v>
      </c>
      <c r="AN91" s="315">
        <f>AK91*AM91</f>
        <v>0</v>
      </c>
      <c r="AP91">
        <v>90</v>
      </c>
      <c r="AQ91" s="62" t="s">
        <v>233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>
        <v>0.8</v>
      </c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>
        <v>1</v>
      </c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3.4</v>
      </c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30</v>
      </c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0"/>
      <c r="B92" s="180"/>
      <c r="C92" s="180"/>
      <c r="D92" s="180"/>
      <c r="E92" s="181"/>
      <c r="F92" s="83" t="s">
        <v>100</v>
      </c>
      <c r="G92" s="92">
        <f aca="true" t="shared" si="98" ref="G92:M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/>
      <c r="M92" s="46">
        <f t="shared" si="98"/>
      </c>
      <c r="N92" s="72"/>
      <c r="O92" s="50"/>
      <c r="P92" s="45">
        <f aca="true" t="shared" si="99" ref="P92:V92">IF(P91=0,"",обідл*P91/1000)</f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/>
      <c r="AE92" s="49">
        <f t="shared" si="100"/>
      </c>
      <c r="AF92" s="45">
        <f t="shared" si="100"/>
      </c>
      <c r="AG92" s="77">
        <f t="shared" si="100"/>
      </c>
      <c r="AH92" s="169"/>
      <c r="AI92" s="166"/>
      <c r="AJ92" s="167"/>
      <c r="AK92" s="156"/>
      <c r="AL92" s="157"/>
      <c r="AM92" s="318"/>
      <c r="AN92" s="316"/>
      <c r="AP92">
        <v>91</v>
      </c>
      <c r="AQ92" s="62" t="s">
        <v>234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>
        <v>0.1</v>
      </c>
      <c r="BW92" s="61">
        <v>1.3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>
        <v>2</v>
      </c>
      <c r="CJ92" s="61">
        <v>2.9</v>
      </c>
      <c r="CK92" s="61"/>
      <c r="CL92" s="61"/>
      <c r="CM92" s="61">
        <v>16.6</v>
      </c>
      <c r="CN92" s="61"/>
      <c r="CO92" s="61"/>
      <c r="CP92" s="61">
        <v>0.1</v>
      </c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>
        <v>50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76" t="s">
        <v>136</v>
      </c>
      <c r="B93" s="176"/>
      <c r="C93" s="176"/>
      <c r="D93" s="176"/>
      <c r="E93" s="177"/>
      <c r="F93" s="82" t="s">
        <v>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/>
      <c r="M93" s="28">
        <f>VLOOKUP(завтрак7,таб,69,FALSE)</f>
        <v>0</v>
      </c>
      <c r="N93" s="71"/>
      <c r="O93" s="36"/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/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8"/>
      <c r="AI93" s="166">
        <f>AK93/сред</f>
        <v>0</v>
      </c>
      <c r="AJ93" s="167"/>
      <c r="AK93" s="154">
        <f>SUM(G94:AG94)</f>
        <v>0</v>
      </c>
      <c r="AL93" s="155"/>
      <c r="AM93" s="315">
        <f>IF(AK93=0,0,DG117)</f>
        <v>0</v>
      </c>
      <c r="AN93" s="315">
        <f>AK93*AM93</f>
        <v>0</v>
      </c>
      <c r="AP93">
        <v>92</v>
      </c>
      <c r="AQ93" s="62" t="s">
        <v>236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>
        <v>2.8</v>
      </c>
      <c r="BB93" s="61"/>
      <c r="BC93" s="61">
        <v>4.7</v>
      </c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>
        <v>50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76"/>
      <c r="B94" s="176"/>
      <c r="C94" s="176"/>
      <c r="D94" s="176"/>
      <c r="E94" s="177"/>
      <c r="F94" s="83" t="s">
        <v>100</v>
      </c>
      <c r="G94" s="91">
        <f aca="true" t="shared" si="101" ref="G94:M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/>
      <c r="M94" s="46">
        <f t="shared" si="101"/>
      </c>
      <c r="N94" s="72"/>
      <c r="O94" s="48"/>
      <c r="P94" s="46">
        <f aca="true" t="shared" si="102" ref="P94:V94">IF(P93=0,"",обідл*P93/1000)</f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/>
      <c r="AE94" s="47">
        <f t="shared" si="103"/>
      </c>
      <c r="AF94" s="46">
        <f t="shared" si="103"/>
      </c>
      <c r="AG94" s="72">
        <f t="shared" si="103"/>
      </c>
      <c r="AH94" s="169"/>
      <c r="AI94" s="166"/>
      <c r="AJ94" s="167"/>
      <c r="AK94" s="156"/>
      <c r="AL94" s="157"/>
      <c r="AM94" s="316"/>
      <c r="AN94" s="316"/>
      <c r="AP94">
        <v>93</v>
      </c>
      <c r="AQ94" s="62" t="s">
        <v>238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>
        <v>0.8</v>
      </c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>
        <v>7.5</v>
      </c>
      <c r="CI94" s="61"/>
      <c r="CJ94" s="61">
        <v>3.8</v>
      </c>
      <c r="CK94" s="61"/>
      <c r="CL94" s="61"/>
      <c r="CM94" s="61">
        <v>3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30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78" t="s">
        <v>115</v>
      </c>
      <c r="B95" s="178"/>
      <c r="C95" s="178"/>
      <c r="D95" s="178"/>
      <c r="E95" s="179"/>
      <c r="F95" s="82" t="s">
        <v>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/>
      <c r="M95" s="28">
        <f>VLOOKUP(завтрак7,таб,32,FALSE)</f>
        <v>0</v>
      </c>
      <c r="N95" s="71"/>
      <c r="O95" s="39"/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/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8">
        <v>614001</v>
      </c>
      <c r="AI95" s="166">
        <f>AK95/сред</f>
        <v>0</v>
      </c>
      <c r="AJ95" s="167"/>
      <c r="AK95" s="154">
        <f>SUM(G96:AG96)</f>
        <v>0</v>
      </c>
      <c r="AL95" s="155"/>
      <c r="AM95" s="317">
        <f>IF(AK95=0,0,BV117)</f>
        <v>0</v>
      </c>
      <c r="AN95" s="315">
        <f>AK95*AM95</f>
        <v>0</v>
      </c>
      <c r="AP95">
        <v>94</v>
      </c>
      <c r="AQ95" s="62" t="s">
        <v>239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>
        <v>0.9</v>
      </c>
      <c r="BN95" s="61"/>
      <c r="BO95" s="61"/>
      <c r="BP95" s="61"/>
      <c r="BQ95" s="61"/>
      <c r="BR95" s="61"/>
      <c r="BS95" s="61"/>
      <c r="BT95" s="61"/>
      <c r="BU95" s="61"/>
      <c r="BV95" s="61"/>
      <c r="BW95" s="61">
        <v>2.5</v>
      </c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>
        <v>6.4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30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0"/>
      <c r="B96" s="180"/>
      <c r="C96" s="180"/>
      <c r="D96" s="180"/>
      <c r="E96" s="181"/>
      <c r="F96" s="83" t="s">
        <v>100</v>
      </c>
      <c r="G96" s="92">
        <f aca="true" t="shared" si="104" ref="G96:M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/>
      <c r="M96" s="46">
        <f t="shared" si="104"/>
      </c>
      <c r="N96" s="72"/>
      <c r="O96" s="50"/>
      <c r="P96" s="45">
        <f aca="true" t="shared" si="105" ref="P96:V96">IF(P95=0,"",обідл*P95/1000)</f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/>
      <c r="AE96" s="49">
        <f t="shared" si="106"/>
      </c>
      <c r="AF96" s="45">
        <f t="shared" si="106"/>
      </c>
      <c r="AG96" s="77">
        <f t="shared" si="106"/>
      </c>
      <c r="AH96" s="169"/>
      <c r="AI96" s="166"/>
      <c r="AJ96" s="167"/>
      <c r="AK96" s="156"/>
      <c r="AL96" s="157"/>
      <c r="AM96" s="318"/>
      <c r="AN96" s="316"/>
      <c r="AP96">
        <v>95</v>
      </c>
      <c r="AQ96" s="62" t="s">
        <v>240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>
        <v>1.2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>
        <v>12</v>
      </c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>
        <v>32.2</v>
      </c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>
        <v>0.1</v>
      </c>
      <c r="DD96" s="61"/>
      <c r="DE96" s="61">
        <v>30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76" t="s">
        <v>30</v>
      </c>
      <c r="B97" s="176"/>
      <c r="C97" s="176"/>
      <c r="D97" s="176"/>
      <c r="E97" s="177"/>
      <c r="F97" s="82" t="s">
        <v>99</v>
      </c>
      <c r="G97" s="90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6</v>
      </c>
      <c r="J97" s="34">
        <f>VLOOKUP(завтрак4,таб,33,FALSE)</f>
        <v>0</v>
      </c>
      <c r="K97" s="35">
        <f>VLOOKUP(завтрак5,таб,33,FALSE)</f>
        <v>0</v>
      </c>
      <c r="L97" s="35"/>
      <c r="M97" s="28">
        <f>VLOOKUP(завтрак7,таб,33,FALSE)</f>
        <v>0</v>
      </c>
      <c r="N97" s="71"/>
      <c r="O97" s="36"/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2.3</v>
      </c>
      <c r="AA97" s="34">
        <f>VLOOKUP(ужин2,таб,33,FALSE)</f>
        <v>2.1</v>
      </c>
      <c r="AB97" s="35">
        <f>VLOOKUP(ужин3,таб,33,FALSE)</f>
        <v>0</v>
      </c>
      <c r="AC97" s="34">
        <f>VLOOKUP(ужин4,таб,33,FALSE)</f>
        <v>0</v>
      </c>
      <c r="AD97" s="35"/>
      <c r="AE97" s="34">
        <f>VLOOKUP(ужин6,таб,33,FALSE)</f>
        <v>0</v>
      </c>
      <c r="AF97" s="35">
        <f>VLOOKUP(ужин7,таб,33,FALSE)</f>
        <v>0</v>
      </c>
      <c r="AG97" s="79">
        <f>VLOOKUP(ужин8,таб,33,FALSE)</f>
        <v>0</v>
      </c>
      <c r="AH97" s="168">
        <v>614002</v>
      </c>
      <c r="AI97" s="166">
        <f>AK97/сред</f>
        <v>0.01888</v>
      </c>
      <c r="AJ97" s="167"/>
      <c r="AK97" s="154">
        <f>SUM(G98:AG98)</f>
        <v>0.2832</v>
      </c>
      <c r="AL97" s="155"/>
      <c r="AM97" s="317">
        <v>26.4</v>
      </c>
      <c r="AN97" s="315">
        <f>AK97*AM97</f>
        <v>7.47648</v>
      </c>
      <c r="AP97">
        <v>96</v>
      </c>
      <c r="AQ97" s="62" t="s">
        <v>241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>
        <v>20</v>
      </c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>
        <v>6</v>
      </c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30</v>
      </c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76"/>
      <c r="B98" s="176"/>
      <c r="C98" s="176"/>
      <c r="D98" s="176"/>
      <c r="E98" s="177"/>
      <c r="F98" s="83" t="s">
        <v>100</v>
      </c>
      <c r="G98" s="91">
        <f aca="true" t="shared" si="107" ref="G98:M98">IF(G97=0,"",завтракл*G97/1000)</f>
      </c>
      <c r="H98" s="47">
        <f t="shared" si="107"/>
      </c>
      <c r="I98" s="46">
        <f t="shared" si="107"/>
        <v>0.096</v>
      </c>
      <c r="J98" s="47">
        <f t="shared" si="107"/>
      </c>
      <c r="K98" s="46">
        <f t="shared" si="107"/>
      </c>
      <c r="L98" s="46"/>
      <c r="M98" s="46">
        <f t="shared" si="107"/>
      </c>
      <c r="N98" s="72"/>
      <c r="O98" s="48"/>
      <c r="P98" s="46">
        <f aca="true" t="shared" si="108" ref="P98:V98">IF(P97=0,"",обідл*P97/1000)</f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  <v>0.0299</v>
      </c>
      <c r="AA98" s="47">
        <f t="shared" si="109"/>
        <v>0.0273</v>
      </c>
      <c r="AB98" s="46">
        <f t="shared" si="109"/>
      </c>
      <c r="AC98" s="47">
        <f t="shared" si="109"/>
      </c>
      <c r="AD98" s="46"/>
      <c r="AE98" s="47">
        <f t="shared" si="109"/>
      </c>
      <c r="AF98" s="46">
        <f t="shared" si="109"/>
      </c>
      <c r="AG98" s="72">
        <f t="shared" si="109"/>
      </c>
      <c r="AH98" s="169"/>
      <c r="AI98" s="166"/>
      <c r="AJ98" s="167"/>
      <c r="AK98" s="156"/>
      <c r="AL98" s="157"/>
      <c r="AM98" s="318"/>
      <c r="AN98" s="316"/>
      <c r="AP98">
        <v>97</v>
      </c>
      <c r="AQ98" s="62" t="s">
        <v>242</v>
      </c>
      <c r="AR98" s="61"/>
      <c r="AS98" s="61"/>
      <c r="AT98" s="61"/>
      <c r="AU98" s="61"/>
      <c r="AV98" s="61"/>
      <c r="AW98" s="61"/>
      <c r="AX98" s="61"/>
      <c r="AY98" s="61"/>
      <c r="AZ98" s="61">
        <v>0.9</v>
      </c>
      <c r="BA98" s="61"/>
      <c r="BB98" s="61"/>
      <c r="BC98" s="61"/>
      <c r="BD98" s="61">
        <v>47.5</v>
      </c>
      <c r="BE98" s="61"/>
      <c r="BF98" s="61"/>
      <c r="BG98" s="61"/>
      <c r="BH98" s="61"/>
      <c r="BI98" s="61"/>
      <c r="BJ98" s="61"/>
      <c r="BK98" s="61"/>
      <c r="BL98" s="61">
        <v>2.65</v>
      </c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78" t="s">
        <v>31</v>
      </c>
      <c r="B99" s="178"/>
      <c r="C99" s="178"/>
      <c r="D99" s="178"/>
      <c r="E99" s="179"/>
      <c r="F99" s="82" t="s">
        <v>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/>
      <c r="M99" s="28">
        <f>VLOOKUP(завтрак7,таб,34,FALSE)</f>
        <v>0</v>
      </c>
      <c r="N99" s="71"/>
      <c r="O99" s="39"/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/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8">
        <v>614018</v>
      </c>
      <c r="AI99" s="166">
        <f>AK99/сред</f>
        <v>0</v>
      </c>
      <c r="AJ99" s="167"/>
      <c r="AK99" s="154">
        <f>SUM(G100:AG100)</f>
        <v>0</v>
      </c>
      <c r="AL99" s="155"/>
      <c r="AM99" s="317">
        <f>IF(AK99=0,0,BX117)</f>
        <v>0</v>
      </c>
      <c r="AN99" s="315">
        <f>AK99*AM99</f>
        <v>0</v>
      </c>
      <c r="AP99">
        <v>98</v>
      </c>
      <c r="AQ99" s="62" t="s">
        <v>243</v>
      </c>
      <c r="AR99" s="61"/>
      <c r="AS99" s="61"/>
      <c r="AT99" s="61"/>
      <c r="AU99" s="61"/>
      <c r="AV99" s="61"/>
      <c r="AW99" s="61"/>
      <c r="AX99" s="61"/>
      <c r="AY99" s="61"/>
      <c r="AZ99" s="61">
        <v>0.6</v>
      </c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>
        <v>1.3</v>
      </c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>
        <v>7.8</v>
      </c>
      <c r="CJ99" s="61">
        <v>7.8</v>
      </c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50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0"/>
      <c r="B100" s="180"/>
      <c r="C100" s="180"/>
      <c r="D100" s="180"/>
      <c r="E100" s="181"/>
      <c r="F100" s="83" t="s">
        <v>100</v>
      </c>
      <c r="G100" s="92">
        <f aca="true" t="shared" si="110" ref="G100:M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/>
      <c r="M100" s="46">
        <f t="shared" si="110"/>
      </c>
      <c r="N100" s="72"/>
      <c r="O100" s="50"/>
      <c r="P100" s="45">
        <f aca="true" t="shared" si="111" ref="P100:V100">IF(P99=0,"",обідл*P99/1000)</f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/>
      <c r="AE100" s="49">
        <f t="shared" si="112"/>
      </c>
      <c r="AF100" s="45">
        <f t="shared" si="112"/>
      </c>
      <c r="AG100" s="77">
        <f t="shared" si="112"/>
      </c>
      <c r="AH100" s="169"/>
      <c r="AI100" s="166"/>
      <c r="AJ100" s="167"/>
      <c r="AK100" s="156"/>
      <c r="AL100" s="157"/>
      <c r="AM100" s="318"/>
      <c r="AN100" s="316"/>
      <c r="AP100">
        <v>99</v>
      </c>
      <c r="AQ100" s="62" t="s">
        <v>244</v>
      </c>
      <c r="AR100" s="61"/>
      <c r="AS100" s="61"/>
      <c r="AT100" s="61"/>
      <c r="AU100" s="61"/>
      <c r="AV100" s="61"/>
      <c r="AW100" s="61"/>
      <c r="AX100" s="61">
        <v>55</v>
      </c>
      <c r="AY100" s="61"/>
      <c r="AZ100" s="61">
        <v>2</v>
      </c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>
        <v>3</v>
      </c>
      <c r="CJ100" s="61">
        <v>31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50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76" t="s">
        <v>32</v>
      </c>
      <c r="B101" s="176"/>
      <c r="C101" s="176"/>
      <c r="D101" s="176"/>
      <c r="E101" s="177"/>
      <c r="F101" s="82" t="s">
        <v>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/>
      <c r="M101" s="28">
        <f>VLOOKUP(завтрак7,таб,35,FALSE)</f>
        <v>0</v>
      </c>
      <c r="N101" s="71"/>
      <c r="O101" s="36"/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/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8">
        <v>614024</v>
      </c>
      <c r="AI101" s="166">
        <f>AK101/сред</f>
        <v>0</v>
      </c>
      <c r="AJ101" s="167"/>
      <c r="AK101" s="154">
        <f>SUM(G102:AG102)</f>
        <v>0</v>
      </c>
      <c r="AL101" s="155"/>
      <c r="AM101" s="317">
        <f>IF(AK101=0,0,BY117)</f>
        <v>0</v>
      </c>
      <c r="AN101" s="315">
        <f>AK101*AM101</f>
        <v>0</v>
      </c>
      <c r="AP101">
        <v>100</v>
      </c>
      <c r="AQ101" s="62" t="s">
        <v>245</v>
      </c>
      <c r="AR101" s="61"/>
      <c r="AS101" s="61"/>
      <c r="AT101" s="61"/>
      <c r="AU101" s="61"/>
      <c r="AV101" s="61"/>
      <c r="AW101" s="61"/>
      <c r="AX101" s="61">
        <v>20.1</v>
      </c>
      <c r="AY101" s="61"/>
      <c r="AZ101" s="61">
        <v>1.3</v>
      </c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>
        <v>0.2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0.8</v>
      </c>
      <c r="CJ101" s="61">
        <v>8.4</v>
      </c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>
        <v>50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76"/>
      <c r="B102" s="176"/>
      <c r="C102" s="176"/>
      <c r="D102" s="176"/>
      <c r="E102" s="177"/>
      <c r="F102" s="83" t="s">
        <v>100</v>
      </c>
      <c r="G102" s="91">
        <f aca="true" t="shared" si="113" ref="G102:M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/>
      <c r="M102" s="46">
        <f t="shared" si="113"/>
      </c>
      <c r="N102" s="72"/>
      <c r="O102" s="48"/>
      <c r="P102" s="46">
        <f aca="true" t="shared" si="114" ref="P102:V102">IF(P101=0,"",обідл*P101/1000)</f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/>
      <c r="AE102" s="47">
        <f t="shared" si="115"/>
      </c>
      <c r="AF102" s="46">
        <f t="shared" si="115"/>
      </c>
      <c r="AG102" s="72">
        <f t="shared" si="115"/>
      </c>
      <c r="AH102" s="169"/>
      <c r="AI102" s="166"/>
      <c r="AJ102" s="167"/>
      <c r="AK102" s="156"/>
      <c r="AL102" s="157"/>
      <c r="AM102" s="318"/>
      <c r="AN102" s="316"/>
      <c r="AP102">
        <v>101</v>
      </c>
      <c r="AQ102" s="62" t="s">
        <v>246</v>
      </c>
      <c r="AR102" s="61"/>
      <c r="AS102" s="61"/>
      <c r="AT102" s="61"/>
      <c r="AU102" s="61"/>
      <c r="AV102" s="61"/>
      <c r="AW102" s="61"/>
      <c r="AX102" s="61"/>
      <c r="AY102" s="61"/>
      <c r="AZ102" s="61">
        <v>2.8</v>
      </c>
      <c r="BA102" s="61"/>
      <c r="BB102" s="61"/>
      <c r="BC102" s="61"/>
      <c r="BD102" s="61">
        <v>25</v>
      </c>
      <c r="BE102" s="61"/>
      <c r="BF102" s="61"/>
      <c r="BG102" s="61"/>
      <c r="BH102" s="61"/>
      <c r="BI102" s="61"/>
      <c r="BJ102" s="61"/>
      <c r="BK102" s="61"/>
      <c r="BL102" s="61">
        <v>2.8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>
        <v>2.5</v>
      </c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>
        <v>50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78" t="s">
        <v>33</v>
      </c>
      <c r="B103" s="178"/>
      <c r="C103" s="178"/>
      <c r="D103" s="178"/>
      <c r="E103" s="179"/>
      <c r="F103" s="82" t="s">
        <v>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/>
      <c r="M103" s="28">
        <f>VLOOKUP(завтрак7,таб,36,FALSE)</f>
        <v>0</v>
      </c>
      <c r="N103" s="71"/>
      <c r="O103" s="39"/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/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8">
        <v>614044</v>
      </c>
      <c r="AI103" s="166">
        <f>AK103/сред</f>
        <v>0</v>
      </c>
      <c r="AJ103" s="167"/>
      <c r="AK103" s="154">
        <f>SUM(G104:AG104)</f>
        <v>0</v>
      </c>
      <c r="AL103" s="155"/>
      <c r="AM103" s="317">
        <f>IF(AK103=0,0,BZ117)</f>
        <v>0</v>
      </c>
      <c r="AN103" s="315">
        <f>AK103*AM103</f>
        <v>0</v>
      </c>
      <c r="AP103">
        <v>102</v>
      </c>
      <c r="AQ103" s="62" t="s">
        <v>247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>
        <v>26</v>
      </c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>
        <v>0.2</v>
      </c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>
        <v>0.2</v>
      </c>
      <c r="DD103" s="61"/>
      <c r="DE103" s="61">
        <v>200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50" ht="30.75" customHeight="1">
      <c r="A104" s="180"/>
      <c r="B104" s="180"/>
      <c r="C104" s="180"/>
      <c r="D104" s="180"/>
      <c r="E104" s="181"/>
      <c r="F104" s="83" t="s">
        <v>100</v>
      </c>
      <c r="G104" s="92">
        <f aca="true" t="shared" si="116" ref="G104:M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/>
      <c r="M104" s="46">
        <f t="shared" si="116"/>
      </c>
      <c r="N104" s="72"/>
      <c r="O104" s="50"/>
      <c r="P104" s="45">
        <f aca="true" t="shared" si="117" ref="P104:V104">IF(P103=0,"",обідл*P103/1000)</f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/>
      <c r="AE104" s="49">
        <f t="shared" si="118"/>
      </c>
      <c r="AF104" s="45">
        <f t="shared" si="118"/>
      </c>
      <c r="AG104" s="77">
        <f t="shared" si="118"/>
      </c>
      <c r="AH104" s="169"/>
      <c r="AI104" s="166"/>
      <c r="AJ104" s="167"/>
      <c r="AK104" s="156"/>
      <c r="AL104" s="157"/>
      <c r="AM104" s="318"/>
      <c r="AN104" s="316"/>
      <c r="AP104">
        <v>103</v>
      </c>
      <c r="AQ104" s="62" t="s">
        <v>248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>
        <v>108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>
        <v>0.5</v>
      </c>
      <c r="CY104" s="61"/>
      <c r="CZ104" s="61"/>
      <c r="DA104" s="61"/>
      <c r="DB104" s="61">
        <v>0.5</v>
      </c>
      <c r="DC104" s="61"/>
      <c r="DD104" s="61"/>
      <c r="DE104" s="61">
        <v>180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EE104">
        <v>0.3</v>
      </c>
      <c r="ET104">
        <v>0.2</v>
      </c>
    </row>
    <row r="105" spans="1:128" ht="30.75" customHeight="1">
      <c r="A105" s="176" t="s">
        <v>34</v>
      </c>
      <c r="B105" s="176"/>
      <c r="C105" s="176"/>
      <c r="D105" s="176"/>
      <c r="E105" s="177"/>
      <c r="F105" s="82" t="s">
        <v>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/>
      <c r="M105" s="28">
        <f>VLOOKUP(завтрак7,таб,37,FALSE)</f>
        <v>0</v>
      </c>
      <c r="N105" s="71"/>
      <c r="O105" s="36"/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/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8">
        <v>614074</v>
      </c>
      <c r="AI105" s="166">
        <f>AK105/сред</f>
        <v>0</v>
      </c>
      <c r="AJ105" s="167"/>
      <c r="AK105" s="154">
        <f>SUM(G106:AG106)</f>
        <v>0</v>
      </c>
      <c r="AL105" s="155"/>
      <c r="AM105" s="317">
        <f>IF(AK105=0,0,CA117)</f>
        <v>0</v>
      </c>
      <c r="AN105" s="315">
        <f>AK105*AM105</f>
        <v>0</v>
      </c>
      <c r="AP105">
        <v>104</v>
      </c>
      <c r="AQ105" s="62" t="s">
        <v>249</v>
      </c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>
        <v>2.4</v>
      </c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>
        <v>20</v>
      </c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200</v>
      </c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76"/>
      <c r="B106" s="176"/>
      <c r="C106" s="176"/>
      <c r="D106" s="176"/>
      <c r="E106" s="177"/>
      <c r="F106" s="83" t="s">
        <v>100</v>
      </c>
      <c r="G106" s="91">
        <f aca="true" t="shared" si="119" ref="G106:M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/>
      <c r="M106" s="46">
        <f t="shared" si="119"/>
      </c>
      <c r="N106" s="72"/>
      <c r="O106" s="48"/>
      <c r="P106" s="46">
        <f aca="true" t="shared" si="120" ref="P106:V106">IF(P105=0,"",обідл*P105/1000)</f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/>
      <c r="AE106" s="47">
        <f t="shared" si="121"/>
      </c>
      <c r="AF106" s="46">
        <f t="shared" si="121"/>
      </c>
      <c r="AG106" s="72">
        <f t="shared" si="121"/>
      </c>
      <c r="AH106" s="169"/>
      <c r="AI106" s="166"/>
      <c r="AJ106" s="167"/>
      <c r="AK106" s="156"/>
      <c r="AL106" s="157"/>
      <c r="AM106" s="318"/>
      <c r="AN106" s="316"/>
      <c r="AP106">
        <v>105</v>
      </c>
      <c r="AQ106" s="62" t="s">
        <v>250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>
        <v>0.8</v>
      </c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200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76" t="s">
        <v>35</v>
      </c>
      <c r="B107" s="176"/>
      <c r="C107" s="176"/>
      <c r="D107" s="176"/>
      <c r="E107" s="177"/>
      <c r="F107" s="82" t="s">
        <v>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/>
      <c r="M107" s="28">
        <f>VLOOKUP(завтрак7,таб,38,FALSE)</f>
        <v>0</v>
      </c>
      <c r="N107" s="71"/>
      <c r="O107" s="36"/>
      <c r="P107" s="35">
        <f>VLOOKUP(обед2,таб,38,FALSE)</f>
        <v>0</v>
      </c>
      <c r="Q107" s="34">
        <f>VLOOKUP(обед3,таб,38,FALSE)</f>
        <v>0</v>
      </c>
      <c r="R107" s="35"/>
      <c r="S107" s="34">
        <v>22.5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/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8">
        <v>615027</v>
      </c>
      <c r="AI107" s="166">
        <f>AK107/сред</f>
        <v>0.024</v>
      </c>
      <c r="AJ107" s="167"/>
      <c r="AK107" s="154">
        <f>SUM(G108:AG108)</f>
        <v>0.36</v>
      </c>
      <c r="AL107" s="155"/>
      <c r="AM107" s="317">
        <v>52</v>
      </c>
      <c r="AN107" s="315">
        <f>AK107*AM107</f>
        <v>18.72</v>
      </c>
      <c r="AP107">
        <v>106</v>
      </c>
      <c r="AQ107" s="62" t="s">
        <v>252</v>
      </c>
      <c r="AR107" s="61"/>
      <c r="AS107" s="61"/>
      <c r="AT107" s="61"/>
      <c r="AU107" s="61">
        <v>0.8</v>
      </c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76"/>
      <c r="B108" s="176"/>
      <c r="C108" s="176"/>
      <c r="D108" s="176"/>
      <c r="E108" s="177"/>
      <c r="F108" s="83" t="s">
        <v>100</v>
      </c>
      <c r="G108" s="91">
        <f aca="true" t="shared" si="122" ref="G108:M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/>
      <c r="M108" s="46">
        <f t="shared" si="122"/>
      </c>
      <c r="N108" s="72"/>
      <c r="O108" s="48"/>
      <c r="P108" s="46">
        <f aca="true" t="shared" si="123" ref="P108:V108">IF(P107=0,"",обідл*P107/1000)</f>
      </c>
      <c r="Q108" s="47">
        <f t="shared" si="123"/>
      </c>
      <c r="R108" s="46"/>
      <c r="S108" s="47">
        <f t="shared" si="123"/>
        <v>0.36</v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/>
      <c r="AE108" s="47">
        <f t="shared" si="124"/>
      </c>
      <c r="AF108" s="46">
        <f t="shared" si="124"/>
      </c>
      <c r="AG108" s="72">
        <f t="shared" si="124"/>
      </c>
      <c r="AH108" s="169"/>
      <c r="AI108" s="166"/>
      <c r="AJ108" s="167"/>
      <c r="AK108" s="156"/>
      <c r="AL108" s="157"/>
      <c r="AM108" s="318"/>
      <c r="AN108" s="316"/>
      <c r="AP108">
        <v>107</v>
      </c>
      <c r="AQ108" s="62" t="s">
        <v>253</v>
      </c>
      <c r="AR108" s="61"/>
      <c r="AS108" s="61"/>
      <c r="AT108" s="61"/>
      <c r="AU108" s="61"/>
      <c r="AV108" s="61"/>
      <c r="AW108" s="61"/>
      <c r="AX108" s="61"/>
      <c r="AY108" s="61"/>
      <c r="AZ108" s="61">
        <v>0.8</v>
      </c>
      <c r="BA108" s="61"/>
      <c r="BB108" s="61"/>
      <c r="BC108" s="61">
        <v>0.3</v>
      </c>
      <c r="BD108" s="61"/>
      <c r="BE108" s="61"/>
      <c r="BF108" s="61"/>
      <c r="BG108" s="61"/>
      <c r="BH108" s="61"/>
      <c r="BI108" s="61"/>
      <c r="BJ108" s="61"/>
      <c r="BK108" s="61"/>
      <c r="BL108" s="61">
        <v>3</v>
      </c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>
        <v>1</v>
      </c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</v>
      </c>
      <c r="CJ108" s="61">
        <v>5</v>
      </c>
      <c r="CK108" s="61"/>
      <c r="CL108" s="61"/>
      <c r="CM108" s="61">
        <v>5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>
        <v>50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78" t="s">
        <v>111</v>
      </c>
      <c r="B109" s="178"/>
      <c r="C109" s="178"/>
      <c r="D109" s="178"/>
      <c r="E109" s="179"/>
      <c r="F109" s="82" t="s">
        <v>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/>
      <c r="M109" s="28">
        <f>VLOOKUP(завтрак7,таб,39,FALSE)</f>
        <v>0</v>
      </c>
      <c r="N109" s="71"/>
      <c r="O109" s="39"/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7.5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/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8">
        <v>615028</v>
      </c>
      <c r="AI109" s="166">
        <f>AK109/сред</f>
        <v>0.006500000000000001</v>
      </c>
      <c r="AJ109" s="167"/>
      <c r="AK109" s="154">
        <f>SUM(G110:AG110)</f>
        <v>0.0975</v>
      </c>
      <c r="AL109" s="155"/>
      <c r="AM109" s="317">
        <v>90</v>
      </c>
      <c r="AN109" s="315">
        <f>AK109*AM109</f>
        <v>8.775</v>
      </c>
      <c r="AP109">
        <v>108</v>
      </c>
      <c r="AQ109" s="62" t="s">
        <v>255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5</v>
      </c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>
        <v>41.7</v>
      </c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>
        <v>34.1</v>
      </c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>
        <v>100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>
        <v>45</v>
      </c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0"/>
      <c r="B110" s="180"/>
      <c r="C110" s="180"/>
      <c r="D110" s="180"/>
      <c r="E110" s="181"/>
      <c r="F110" s="83" t="s">
        <v>100</v>
      </c>
      <c r="G110" s="92">
        <f aca="true" t="shared" si="125" ref="G110:M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/>
      <c r="M110" s="46">
        <f t="shared" si="125"/>
      </c>
      <c r="N110" s="72"/>
      <c r="O110" s="50"/>
      <c r="P110" s="45">
        <f aca="true" t="shared" si="126" ref="P110:V110">IF(P109=0,"",обідл*P109/1000)</f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  <v>0.0975</v>
      </c>
      <c r="AA110" s="49">
        <f t="shared" si="127"/>
      </c>
      <c r="AB110" s="45">
        <f t="shared" si="127"/>
      </c>
      <c r="AC110" s="49">
        <f t="shared" si="127"/>
      </c>
      <c r="AD110" s="45"/>
      <c r="AE110" s="49">
        <f t="shared" si="127"/>
      </c>
      <c r="AF110" s="45">
        <f t="shared" si="127"/>
      </c>
      <c r="AG110" s="77">
        <f t="shared" si="127"/>
      </c>
      <c r="AH110" s="169"/>
      <c r="AI110" s="166"/>
      <c r="AJ110" s="167"/>
      <c r="AK110" s="156"/>
      <c r="AL110" s="157"/>
      <c r="AM110" s="318"/>
      <c r="AN110" s="316"/>
      <c r="AP110">
        <v>109</v>
      </c>
      <c r="AQ110" s="62" t="s">
        <v>256</v>
      </c>
      <c r="AR110" s="61"/>
      <c r="AS110" s="61"/>
      <c r="AT110" s="61"/>
      <c r="AU110" s="61"/>
      <c r="AV110" s="61"/>
      <c r="AW110" s="61"/>
      <c r="AX110" s="61"/>
      <c r="AY110" s="61"/>
      <c r="AZ110" s="61"/>
      <c r="BA110" s="61">
        <v>5</v>
      </c>
      <c r="BB110" s="61"/>
      <c r="BC110" s="61">
        <v>5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>
        <v>1</v>
      </c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>
        <v>27.4</v>
      </c>
      <c r="CJ110" s="61"/>
      <c r="CK110" s="61"/>
      <c r="CL110" s="61"/>
      <c r="CM110" s="61"/>
      <c r="CN110" s="61">
        <v>84.7</v>
      </c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100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76" t="s">
        <v>36</v>
      </c>
      <c r="B111" s="176"/>
      <c r="C111" s="176"/>
      <c r="D111" s="176"/>
      <c r="E111" s="177"/>
      <c r="F111" s="82" t="s">
        <v>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/>
      <c r="M111" s="28">
        <f>VLOOKUP(завтрак7,таб,40,FALSE)</f>
        <v>0</v>
      </c>
      <c r="N111" s="71"/>
      <c r="O111" s="36"/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/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8"/>
      <c r="AI111" s="166">
        <f>AK111/сред</f>
        <v>0</v>
      </c>
      <c r="AJ111" s="167"/>
      <c r="AK111" s="154">
        <f>SUM(G112:AG112)</f>
        <v>0</v>
      </c>
      <c r="AL111" s="155"/>
      <c r="AM111" s="317">
        <f>IF(AK111=0,0,CD117)</f>
        <v>0</v>
      </c>
      <c r="AN111" s="315">
        <f>AK111*AM111</f>
        <v>0</v>
      </c>
      <c r="AP111">
        <v>110</v>
      </c>
      <c r="AQ111" s="62" t="s">
        <v>257</v>
      </c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>
        <v>5</v>
      </c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>
        <v>11.3</v>
      </c>
      <c r="CJ111" s="61"/>
      <c r="CK111" s="61"/>
      <c r="CL111" s="61"/>
      <c r="CM111" s="61"/>
      <c r="CN111" s="61">
        <v>74.1</v>
      </c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100</v>
      </c>
      <c r="DF111" s="61"/>
      <c r="DG111" s="61"/>
      <c r="DH111" s="61"/>
      <c r="DI111" s="61"/>
      <c r="DJ111" s="61"/>
      <c r="DK111" s="61"/>
      <c r="DL111" s="61"/>
      <c r="DM111" s="61"/>
      <c r="DN111" s="61">
        <v>30.7</v>
      </c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76"/>
      <c r="B112" s="176"/>
      <c r="C112" s="176"/>
      <c r="D112" s="176"/>
      <c r="E112" s="177"/>
      <c r="F112" s="83" t="s">
        <v>100</v>
      </c>
      <c r="G112" s="91">
        <f aca="true" t="shared" si="128" ref="G112:M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/>
      <c r="M112" s="46">
        <f t="shared" si="128"/>
      </c>
      <c r="N112" s="72"/>
      <c r="O112" s="48"/>
      <c r="P112" s="46">
        <f aca="true" t="shared" si="129" ref="P112:V112">IF(P111=0,"",обідл*P111/1000)</f>
      </c>
      <c r="Q112" s="47">
        <f t="shared" si="129"/>
      </c>
      <c r="R112" s="46"/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/>
      <c r="AE112" s="47">
        <f t="shared" si="130"/>
      </c>
      <c r="AF112" s="46">
        <f t="shared" si="130"/>
      </c>
      <c r="AG112" s="72">
        <f t="shared" si="130"/>
      </c>
      <c r="AH112" s="169"/>
      <c r="AI112" s="166"/>
      <c r="AJ112" s="167"/>
      <c r="AK112" s="156"/>
      <c r="AL112" s="157"/>
      <c r="AM112" s="318"/>
      <c r="AN112" s="316"/>
      <c r="AP112">
        <v>111</v>
      </c>
      <c r="AQ112" s="62" t="s">
        <v>259</v>
      </c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>
        <v>5</v>
      </c>
      <c r="BD112" s="61"/>
      <c r="BE112" s="61"/>
      <c r="BF112" s="61"/>
      <c r="BG112" s="61"/>
      <c r="BH112" s="61"/>
      <c r="BI112" s="61"/>
      <c r="BJ112" s="61">
        <v>0.2</v>
      </c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>
        <v>51.4</v>
      </c>
      <c r="CI112" s="61"/>
      <c r="CJ112" s="61"/>
      <c r="CK112" s="61"/>
      <c r="CL112" s="61"/>
      <c r="CM112" s="61"/>
      <c r="CN112" s="61">
        <v>27.1</v>
      </c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100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>
        <v>28.8</v>
      </c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76" t="s">
        <v>37</v>
      </c>
      <c r="B113" s="176"/>
      <c r="C113" s="176"/>
      <c r="D113" s="176"/>
      <c r="E113" s="177"/>
      <c r="F113" s="82" t="s">
        <v>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/>
      <c r="M113" s="28">
        <f>VLOOKUP(завтрак7,таб,41,FALSE)</f>
        <v>0</v>
      </c>
      <c r="N113" s="71"/>
      <c r="O113" s="39"/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/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8"/>
      <c r="AI113" s="166">
        <f>AK113/сред</f>
        <v>0</v>
      </c>
      <c r="AJ113" s="167"/>
      <c r="AK113" s="154">
        <f>SUM(G114:AG114)</f>
        <v>0</v>
      </c>
      <c r="AL113" s="155"/>
      <c r="AM113" s="317">
        <f>IF(AK113=0,0,CE117)</f>
        <v>0</v>
      </c>
      <c r="AN113" s="315">
        <f>AK113*AM113</f>
        <v>0</v>
      </c>
      <c r="AP113">
        <v>112</v>
      </c>
      <c r="AQ113" s="62" t="s">
        <v>260</v>
      </c>
      <c r="AR113" s="61"/>
      <c r="AS113" s="61"/>
      <c r="AT113" s="61"/>
      <c r="AU113" s="61"/>
      <c r="AV113" s="61"/>
      <c r="AW113" s="61"/>
      <c r="AX113" s="61"/>
      <c r="AY113" s="61"/>
      <c r="AZ113" s="61">
        <v>5</v>
      </c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>
        <v>166.7</v>
      </c>
      <c r="CH113" s="61"/>
      <c r="CI113" s="61"/>
      <c r="CJ113" s="61">
        <v>152.3</v>
      </c>
      <c r="CK113" s="61"/>
      <c r="CL113" s="61"/>
      <c r="CM113" s="61"/>
      <c r="CN113" s="61"/>
      <c r="CO113" s="61"/>
      <c r="CP113" s="61">
        <v>0.5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250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0"/>
      <c r="B114" s="180"/>
      <c r="C114" s="180"/>
      <c r="D114" s="180"/>
      <c r="E114" s="181"/>
      <c r="F114" s="83" t="s">
        <v>100</v>
      </c>
      <c r="G114" s="92">
        <f aca="true" t="shared" si="131" ref="G114:M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/>
      <c r="M114" s="46">
        <f t="shared" si="131"/>
      </c>
      <c r="N114" s="72"/>
      <c r="O114" s="50"/>
      <c r="P114" s="45">
        <f aca="true" t="shared" si="132" ref="P114:V114">IF(P113=0,"",обідл*P113/1000)</f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/>
      <c r="AE114" s="49">
        <f t="shared" si="133"/>
      </c>
      <c r="AF114" s="45">
        <f t="shared" si="133"/>
      </c>
      <c r="AG114" s="77">
        <f t="shared" si="133"/>
      </c>
      <c r="AH114" s="169"/>
      <c r="AI114" s="166"/>
      <c r="AJ114" s="167"/>
      <c r="AK114" s="156"/>
      <c r="AL114" s="157"/>
      <c r="AM114" s="318"/>
      <c r="AN114" s="316"/>
      <c r="AP114">
        <v>113</v>
      </c>
      <c r="AQ114" s="62" t="s">
        <v>261</v>
      </c>
      <c r="AR114" s="61"/>
      <c r="AS114" s="61"/>
      <c r="AT114" s="61"/>
      <c r="AU114" s="61"/>
      <c r="AV114" s="61"/>
      <c r="AW114" s="61"/>
      <c r="AX114" s="61">
        <v>100.7</v>
      </c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>
        <v>0.1</v>
      </c>
      <c r="BK114" s="61"/>
      <c r="BL114" s="61">
        <v>1.88</v>
      </c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>
        <v>17.9</v>
      </c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76" t="s">
        <v>38</v>
      </c>
      <c r="B115" s="176"/>
      <c r="C115" s="176"/>
      <c r="D115" s="176"/>
      <c r="E115" s="177"/>
      <c r="F115" s="82" t="s">
        <v>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48</v>
      </c>
      <c r="J115" s="34">
        <f>VLOOKUP(завтрак4,таб,42,FALSE)</f>
        <v>0</v>
      </c>
      <c r="K115" s="35">
        <v>100</v>
      </c>
      <c r="L115" s="35"/>
      <c r="M115" s="28">
        <f>VLOOKUP(завтрак7,таб,42,FALSE)</f>
        <v>0</v>
      </c>
      <c r="N115" s="71"/>
      <c r="O115" s="36"/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/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8">
        <v>615054</v>
      </c>
      <c r="AI115" s="166">
        <f>AK115/сред</f>
        <v>0.15786666666666668</v>
      </c>
      <c r="AJ115" s="167"/>
      <c r="AK115" s="154">
        <f>SUM(G116:AG116)</f>
        <v>2.3680000000000003</v>
      </c>
      <c r="AL115" s="155"/>
      <c r="AM115" s="317">
        <v>5.95</v>
      </c>
      <c r="AN115" s="315">
        <f>AK115*AM115</f>
        <v>14.089600000000003</v>
      </c>
      <c r="AP115">
        <v>114</v>
      </c>
      <c r="AQ115" s="62" t="s">
        <v>262</v>
      </c>
      <c r="AR115" s="61">
        <v>38.9</v>
      </c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>
        <v>180</v>
      </c>
      <c r="CH115" s="61"/>
      <c r="CI115" s="61">
        <v>31.3</v>
      </c>
      <c r="CJ115" s="61">
        <v>31.3</v>
      </c>
      <c r="CK115" s="61"/>
      <c r="CL115" s="61"/>
      <c r="CM115" s="61">
        <v>12.5</v>
      </c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>
        <v>250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76"/>
      <c r="B116" s="176"/>
      <c r="C116" s="176"/>
      <c r="D116" s="176"/>
      <c r="E116" s="177"/>
      <c r="F116" s="83" t="s">
        <v>100</v>
      </c>
      <c r="G116" s="91">
        <f aca="true" t="shared" si="134" ref="G116:M116">IF(G115=0,"",завтракл*G115/1000)</f>
      </c>
      <c r="H116" s="47">
        <f t="shared" si="134"/>
      </c>
      <c r="I116" s="46">
        <f t="shared" si="134"/>
        <v>0.768</v>
      </c>
      <c r="J116" s="47">
        <f t="shared" si="134"/>
      </c>
      <c r="K116" s="46">
        <f t="shared" si="134"/>
        <v>1.6</v>
      </c>
      <c r="L116" s="46"/>
      <c r="M116" s="46">
        <f t="shared" si="134"/>
      </c>
      <c r="N116" s="72"/>
      <c r="O116" s="48"/>
      <c r="P116" s="46">
        <f aca="true" t="shared" si="135" ref="P116:V116">IF(P115=0,"",обідл*P115/1000)</f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/>
      <c r="AE116" s="47">
        <f t="shared" si="136"/>
      </c>
      <c r="AF116" s="46">
        <f t="shared" si="136"/>
      </c>
      <c r="AG116" s="72">
        <f t="shared" si="136"/>
      </c>
      <c r="AH116" s="169"/>
      <c r="AI116" s="166"/>
      <c r="AJ116" s="167"/>
      <c r="AK116" s="156"/>
      <c r="AL116" s="157"/>
      <c r="AM116" s="318"/>
      <c r="AN116" s="316"/>
      <c r="AP116">
        <v>115</v>
      </c>
      <c r="AQ116" s="108" t="s">
        <v>263</v>
      </c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>
        <v>16</v>
      </c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>
        <v>114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109">
        <v>100</v>
      </c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78" t="s">
        <v>135</v>
      </c>
      <c r="B117" s="178"/>
      <c r="C117" s="178"/>
      <c r="D117" s="178"/>
      <c r="E117" s="179"/>
      <c r="F117" s="82" t="s">
        <v>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/>
      <c r="M117" s="28">
        <f>VLOOKUP(завтрак7,таб,75,FALSE)</f>
        <v>0</v>
      </c>
      <c r="N117" s="71"/>
      <c r="O117" s="39"/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/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8"/>
      <c r="AI117" s="166">
        <f>AK117/сред</f>
        <v>0</v>
      </c>
      <c r="AJ117" s="167"/>
      <c r="AK117" s="154">
        <f>SUM(G118:AG118)</f>
        <v>0</v>
      </c>
      <c r="AL117" s="155"/>
      <c r="AM117" s="317">
        <f>IF(AK117=0,0,DM117)</f>
        <v>0</v>
      </c>
      <c r="AN117" s="315">
        <f>AK117*AM117</f>
        <v>0</v>
      </c>
      <c r="AP117">
        <v>116</v>
      </c>
      <c r="AQ117" s="108" t="s">
        <v>264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>
        <v>3</v>
      </c>
      <c r="BE117" s="97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97"/>
      <c r="CM117" s="62"/>
      <c r="CN117" s="62"/>
      <c r="CO117" s="62">
        <v>129.5</v>
      </c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109">
        <v>100</v>
      </c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1"/>
      <c r="DU117" s="61"/>
      <c r="DV117" s="61"/>
      <c r="DW117" s="61"/>
      <c r="DX117" s="61"/>
      <c r="DY117" s="61"/>
    </row>
    <row r="118" spans="1:129" ht="30.75" customHeight="1">
      <c r="A118" s="180"/>
      <c r="B118" s="180"/>
      <c r="C118" s="180"/>
      <c r="D118" s="180"/>
      <c r="E118" s="181"/>
      <c r="F118" s="83" t="s">
        <v>100</v>
      </c>
      <c r="G118" s="92">
        <f aca="true" t="shared" si="137" ref="G118:M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/>
      <c r="M118" s="46">
        <f t="shared" si="137"/>
      </c>
      <c r="N118" s="72"/>
      <c r="O118" s="50"/>
      <c r="P118" s="45">
        <f aca="true" t="shared" si="138" ref="P118:V118">IF(P117=0,"",обідл*P117/1000)</f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/>
      <c r="AE118" s="49">
        <f t="shared" si="139"/>
      </c>
      <c r="AF118" s="45">
        <f t="shared" si="139"/>
      </c>
      <c r="AG118" s="77">
        <f t="shared" si="139"/>
      </c>
      <c r="AH118" s="169"/>
      <c r="AI118" s="166"/>
      <c r="AJ118" s="167"/>
      <c r="AK118" s="156"/>
      <c r="AL118" s="157"/>
      <c r="AM118" s="318"/>
      <c r="AN118" s="316"/>
      <c r="AP118">
        <v>117</v>
      </c>
      <c r="AQ118" s="61" t="s">
        <v>265</v>
      </c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>
        <v>3.5</v>
      </c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>
        <v>108</v>
      </c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>
        <v>5</v>
      </c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>
        <v>100</v>
      </c>
      <c r="DF118" s="61"/>
      <c r="DG118" s="61">
        <v>12</v>
      </c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</row>
    <row r="119" spans="1:128" ht="30.75" customHeight="1">
      <c r="A119" s="176" t="s">
        <v>123</v>
      </c>
      <c r="B119" s="176"/>
      <c r="C119" s="176"/>
      <c r="D119" s="176"/>
      <c r="E119" s="177"/>
      <c r="F119" s="82" t="s">
        <v>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/>
      <c r="M119" s="28">
        <f>VLOOKUP(завтрак7,таб,76,FALSE)</f>
        <v>0</v>
      </c>
      <c r="N119" s="71"/>
      <c r="O119" s="36"/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/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8"/>
      <c r="AI119" s="166">
        <f>AK119/сред</f>
        <v>0</v>
      </c>
      <c r="AJ119" s="167"/>
      <c r="AK119" s="154">
        <f>SUM(G120:AG120)</f>
        <v>0</v>
      </c>
      <c r="AL119" s="155"/>
      <c r="AM119" s="317">
        <f>IF(AK119=0,0,DN117)</f>
        <v>0</v>
      </c>
      <c r="AN119" s="315"/>
      <c r="AP119">
        <v>118</v>
      </c>
      <c r="AQ119" s="61" t="s">
        <v>266</v>
      </c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>
        <v>10</v>
      </c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>
        <v>2</v>
      </c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>
        <v>113.4</v>
      </c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>
        <v>100</v>
      </c>
      <c r="DF119" s="61"/>
      <c r="DG119" s="61"/>
      <c r="DH119" s="61"/>
      <c r="DI119" s="61"/>
      <c r="DJ119" s="61"/>
      <c r="DK119" s="61"/>
      <c r="DL119" s="61"/>
      <c r="DM119" s="61">
        <v>5</v>
      </c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31" ht="30.75" customHeight="1">
      <c r="A120" s="176"/>
      <c r="B120" s="176"/>
      <c r="C120" s="176"/>
      <c r="D120" s="176"/>
      <c r="E120" s="177"/>
      <c r="F120" s="83" t="s">
        <v>100</v>
      </c>
      <c r="G120" s="91">
        <f aca="true" t="shared" si="140" ref="G120:M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/>
      <c r="M120" s="46">
        <f t="shared" si="140"/>
      </c>
      <c r="N120" s="72"/>
      <c r="O120" s="48"/>
      <c r="P120" s="46">
        <f aca="true" t="shared" si="141" ref="P120:V120">IF(P119=0,"",обідл*P119/1000)</f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/>
      <c r="AE120" s="47">
        <f t="shared" si="142"/>
      </c>
      <c r="AF120" s="46">
        <f t="shared" si="142"/>
      </c>
      <c r="AG120" s="72">
        <f t="shared" si="142"/>
      </c>
      <c r="AH120" s="169"/>
      <c r="AI120" s="166"/>
      <c r="AJ120" s="167"/>
      <c r="AK120" s="156"/>
      <c r="AL120" s="157"/>
      <c r="AM120" s="318"/>
      <c r="AN120" s="316"/>
      <c r="AP120">
        <v>119</v>
      </c>
      <c r="AQ120" s="61" t="s">
        <v>267</v>
      </c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>
        <v>10</v>
      </c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>
        <v>3</v>
      </c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>
        <v>98</v>
      </c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100</v>
      </c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Z120">
        <v>5</v>
      </c>
      <c r="EA120">
        <v>20</v>
      </c>
    </row>
    <row r="121" spans="1:132" ht="30.75" customHeight="1">
      <c r="A121" s="178" t="s">
        <v>117</v>
      </c>
      <c r="B121" s="178"/>
      <c r="C121" s="178"/>
      <c r="D121" s="178"/>
      <c r="E121" s="179"/>
      <c r="F121" s="82" t="s">
        <v>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/>
      <c r="M121" s="28">
        <f>VLOOKUP(завтрак7,таб,77,FALSE)</f>
        <v>0</v>
      </c>
      <c r="N121" s="71"/>
      <c r="O121" s="39"/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/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8"/>
      <c r="AI121" s="166">
        <f>AK121/сред</f>
        <v>0</v>
      </c>
      <c r="AJ121" s="167"/>
      <c r="AK121" s="154">
        <f>SUM(G122:AG122)</f>
        <v>0</v>
      </c>
      <c r="AL121" s="155"/>
      <c r="AM121" s="317">
        <f>IF(AK121=0,0,DO117)</f>
        <v>0</v>
      </c>
      <c r="AN121" s="315">
        <f>AK121*AM121</f>
        <v>0</v>
      </c>
      <c r="AP121">
        <v>120</v>
      </c>
      <c r="AQ121" s="62" t="s">
        <v>270</v>
      </c>
      <c r="AR121" s="62"/>
      <c r="AS121" s="62"/>
      <c r="AT121" s="62"/>
      <c r="AU121" s="62"/>
      <c r="AV121" s="62"/>
      <c r="AW121" s="62"/>
      <c r="AX121" s="62"/>
      <c r="AY121" s="62">
        <v>45</v>
      </c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41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109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EA121">
        <v>16</v>
      </c>
      <c r="EB121">
        <v>35</v>
      </c>
    </row>
    <row r="122" spans="1:109" ht="30.75" customHeight="1">
      <c r="A122" s="180"/>
      <c r="B122" s="180"/>
      <c r="C122" s="180"/>
      <c r="D122" s="180"/>
      <c r="E122" s="181"/>
      <c r="F122" s="83" t="s">
        <v>100</v>
      </c>
      <c r="G122" s="92">
        <f aca="true" t="shared" si="143" ref="G122:M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/>
      <c r="M122" s="46">
        <f t="shared" si="143"/>
      </c>
      <c r="N122" s="72"/>
      <c r="O122" s="50"/>
      <c r="P122" s="45">
        <f aca="true" t="shared" si="144" ref="P122:V122">IF(P121=0,"",обідл*P121/1000)</f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/>
      <c r="AE122" s="49">
        <f t="shared" si="145"/>
      </c>
      <c r="AF122" s="45">
        <f t="shared" si="145"/>
      </c>
      <c r="AG122" s="77">
        <f t="shared" si="145"/>
      </c>
      <c r="AH122" s="169"/>
      <c r="AI122" s="166"/>
      <c r="AJ122" s="167"/>
      <c r="AK122" s="156"/>
      <c r="AL122" s="157"/>
      <c r="AM122" s="318"/>
      <c r="AN122" s="316"/>
      <c r="AP122">
        <v>121</v>
      </c>
      <c r="AQ122" s="61" t="s">
        <v>272</v>
      </c>
      <c r="CE122" s="96"/>
      <c r="DE122" s="61">
        <v>100</v>
      </c>
    </row>
    <row r="123" spans="1:133" ht="30.75" customHeight="1">
      <c r="A123" s="176" t="s">
        <v>112</v>
      </c>
      <c r="B123" s="176"/>
      <c r="C123" s="176"/>
      <c r="D123" s="176"/>
      <c r="E123" s="177"/>
      <c r="F123" s="82" t="s">
        <v>99</v>
      </c>
      <c r="G123" s="90">
        <f>VLOOKUP(завтрак1,таб,86,FALSE)</f>
        <v>0</v>
      </c>
      <c r="H123" s="34">
        <f>VLOOKUP(завтрак2,таб,86,FALSE)</f>
        <v>1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/>
      <c r="M123" s="28">
        <f>VLOOKUP(завтрак7,таб,86,FALSE)</f>
        <v>0</v>
      </c>
      <c r="N123" s="71"/>
      <c r="O123" s="36"/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/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8"/>
      <c r="AI123" s="166">
        <f>AK123/сред</f>
        <v>0.0010666666666666667</v>
      </c>
      <c r="AJ123" s="167"/>
      <c r="AK123" s="154">
        <f>SUM(G124:AG124)</f>
        <v>0.016</v>
      </c>
      <c r="AL123" s="155"/>
      <c r="AM123" s="317">
        <v>58</v>
      </c>
      <c r="AN123" s="315">
        <f>AK123*AM123</f>
        <v>0.928</v>
      </c>
      <c r="AP123">
        <v>122</v>
      </c>
      <c r="AQ123" s="61" t="s">
        <v>273</v>
      </c>
      <c r="BC123">
        <v>3</v>
      </c>
      <c r="CT123">
        <v>98</v>
      </c>
      <c r="DE123" s="61">
        <v>100</v>
      </c>
      <c r="DG123">
        <v>16.5</v>
      </c>
      <c r="DH123">
        <v>0.5</v>
      </c>
      <c r="EC123">
        <v>15</v>
      </c>
    </row>
    <row r="124" spans="1:112" ht="30.75" customHeight="1">
      <c r="A124" s="176"/>
      <c r="B124" s="176"/>
      <c r="C124" s="176"/>
      <c r="D124" s="176"/>
      <c r="E124" s="177"/>
      <c r="F124" s="83" t="s">
        <v>100</v>
      </c>
      <c r="G124" s="91">
        <f aca="true" t="shared" si="146" ref="G124:M124">IF(G123=0,"",завтракл*G123/1000)</f>
      </c>
      <c r="H124" s="47">
        <f t="shared" si="146"/>
        <v>0.016</v>
      </c>
      <c r="I124" s="46">
        <f t="shared" si="146"/>
      </c>
      <c r="J124" s="47">
        <f t="shared" si="146"/>
      </c>
      <c r="K124" s="46">
        <f t="shared" si="146"/>
      </c>
      <c r="L124" s="46"/>
      <c r="M124" s="46">
        <f t="shared" si="146"/>
      </c>
      <c r="N124" s="72"/>
      <c r="O124" s="48"/>
      <c r="P124" s="46">
        <f aca="true" t="shared" si="147" ref="P124:V124">IF(P123=0,"",обідл*P123/1000)</f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/>
      <c r="AE124" s="47">
        <f t="shared" si="148"/>
      </c>
      <c r="AF124" s="46">
        <f t="shared" si="148"/>
      </c>
      <c r="AG124" s="72">
        <f t="shared" si="148"/>
      </c>
      <c r="AH124" s="169"/>
      <c r="AI124" s="166"/>
      <c r="AJ124" s="167"/>
      <c r="AK124" s="156"/>
      <c r="AL124" s="157"/>
      <c r="AM124" s="318"/>
      <c r="AN124" s="316"/>
      <c r="AP124">
        <v>123</v>
      </c>
      <c r="AQ124" s="61" t="s">
        <v>154</v>
      </c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5</v>
      </c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>
        <v>33.5</v>
      </c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>
        <v>98</v>
      </c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>
        <v>100</v>
      </c>
      <c r="DH124">
        <v>1</v>
      </c>
    </row>
    <row r="125" spans="1:109" ht="30.75" customHeight="1">
      <c r="A125" s="178" t="s">
        <v>39</v>
      </c>
      <c r="B125" s="178"/>
      <c r="C125" s="178"/>
      <c r="D125" s="178"/>
      <c r="E125" s="179"/>
      <c r="F125" s="82" t="s">
        <v>99</v>
      </c>
      <c r="G125" s="93">
        <f>VLOOKUP(завтрак1,таб,43,FALSE)</f>
        <v>0</v>
      </c>
      <c r="H125" s="37">
        <f>VLOOKUP(завтрак2,таб,43,FALSE)</f>
        <v>69.6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/>
      <c r="M125" s="28">
        <f>VLOOKUP(завтрак7,таб,43,FALSE)</f>
        <v>0</v>
      </c>
      <c r="N125" s="71"/>
      <c r="O125" s="39"/>
      <c r="P125" s="38">
        <f>VLOOKUP(обед2,таб,43,FALSE)</f>
        <v>125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/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8">
        <v>615078</v>
      </c>
      <c r="AI125" s="166">
        <f>AK125/сред</f>
        <v>0.20757333333333333</v>
      </c>
      <c r="AJ125" s="167"/>
      <c r="AK125" s="154">
        <f>SUM(G126:AG126)</f>
        <v>3.1136</v>
      </c>
      <c r="AL125" s="155"/>
      <c r="AM125" s="317">
        <v>8</v>
      </c>
      <c r="AN125" s="315">
        <f>AK125*AM125</f>
        <v>24.9088</v>
      </c>
      <c r="AP125">
        <v>124</v>
      </c>
      <c r="AQ125" s="61" t="s">
        <v>275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>
        <v>3</v>
      </c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>
        <v>131</v>
      </c>
      <c r="CK125" s="61"/>
      <c r="CL125" s="61"/>
      <c r="CM125" s="61"/>
      <c r="CN125" s="61"/>
      <c r="CO125" s="61"/>
      <c r="CP125" s="61">
        <v>0.4</v>
      </c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100</v>
      </c>
    </row>
    <row r="126" spans="1:112" ht="30.75" customHeight="1">
      <c r="A126" s="180"/>
      <c r="B126" s="180"/>
      <c r="C126" s="180"/>
      <c r="D126" s="180"/>
      <c r="E126" s="181"/>
      <c r="F126" s="83" t="s">
        <v>100</v>
      </c>
      <c r="G126" s="92">
        <f aca="true" t="shared" si="149" ref="G126:M126">IF(G125=0,"",завтракл*G125/1000)</f>
      </c>
      <c r="H126" s="49">
        <f t="shared" si="149"/>
        <v>1.1136</v>
      </c>
      <c r="I126" s="45">
        <f t="shared" si="149"/>
      </c>
      <c r="J126" s="49">
        <f t="shared" si="149"/>
      </c>
      <c r="K126" s="45">
        <f t="shared" si="149"/>
      </c>
      <c r="L126" s="45"/>
      <c r="M126" s="46">
        <f t="shared" si="149"/>
      </c>
      <c r="N126" s="72"/>
      <c r="O126" s="50"/>
      <c r="P126" s="45">
        <f aca="true" t="shared" si="150" ref="P126:V126">IF(P125=0,"",обідл*P125/1000)</f>
        <v>2</v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/>
      <c r="AE126" s="49">
        <f t="shared" si="151"/>
      </c>
      <c r="AF126" s="45">
        <f t="shared" si="151"/>
      </c>
      <c r="AG126" s="77">
        <f t="shared" si="151"/>
      </c>
      <c r="AH126" s="169"/>
      <c r="AI126" s="166"/>
      <c r="AJ126" s="167"/>
      <c r="AK126" s="156"/>
      <c r="AL126" s="157"/>
      <c r="AM126" s="318"/>
      <c r="AN126" s="316"/>
      <c r="AP126">
        <v>125</v>
      </c>
      <c r="AQ126" s="61" t="s">
        <v>276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>
        <v>3</v>
      </c>
      <c r="BD126" s="61"/>
      <c r="BE126" s="61"/>
      <c r="BF126" s="61"/>
      <c r="BG126" s="61"/>
      <c r="BH126" s="61"/>
      <c r="BI126" s="61">
        <v>10</v>
      </c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>
        <v>45</v>
      </c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>
        <v>132</v>
      </c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>
        <v>100</v>
      </c>
      <c r="DH126">
        <v>0.3</v>
      </c>
    </row>
    <row r="127" spans="1:112" ht="30.75" customHeight="1">
      <c r="A127" s="176" t="s">
        <v>131</v>
      </c>
      <c r="B127" s="176"/>
      <c r="C127" s="176"/>
      <c r="D127" s="176"/>
      <c r="E127" s="177"/>
      <c r="F127" s="82" t="s">
        <v>99</v>
      </c>
      <c r="G127" s="90">
        <f>VLOOKUP(завтрак1,таб,44,FALSE)</f>
        <v>35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/>
      <c r="M127" s="28">
        <f>VLOOKUP(завтрак7,таб,44,FALSE)</f>
        <v>0</v>
      </c>
      <c r="N127" s="71"/>
      <c r="O127" s="36">
        <v>119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/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8">
        <v>615079</v>
      </c>
      <c r="AI127" s="166">
        <f>AK127/сред</f>
        <v>0.16426666666666667</v>
      </c>
      <c r="AJ127" s="167"/>
      <c r="AK127" s="154">
        <f>SUM(G128:AG128)</f>
        <v>2.464</v>
      </c>
      <c r="AL127" s="155"/>
      <c r="AM127" s="317">
        <v>14</v>
      </c>
      <c r="AN127" s="315">
        <f>AK127*AM127</f>
        <v>34.496</v>
      </c>
      <c r="AP127">
        <v>126</v>
      </c>
      <c r="AQ127" s="61" t="s">
        <v>277</v>
      </c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>
        <v>3</v>
      </c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>
        <v>76</v>
      </c>
      <c r="CI127" s="61"/>
      <c r="CJ127" s="61">
        <v>40</v>
      </c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>
        <v>100</v>
      </c>
      <c r="DH127">
        <v>1</v>
      </c>
    </row>
    <row r="128" spans="1:110" ht="30.75" customHeight="1">
      <c r="A128" s="176"/>
      <c r="B128" s="176"/>
      <c r="C128" s="176"/>
      <c r="D128" s="176"/>
      <c r="E128" s="177"/>
      <c r="F128" s="83" t="s">
        <v>100</v>
      </c>
      <c r="G128" s="91">
        <f aca="true" t="shared" si="152" ref="G128:M128">IF(G127=0,"",завтракл*G127/1000)</f>
        <v>0.56</v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/>
      <c r="M128" s="46">
        <f t="shared" si="152"/>
      </c>
      <c r="N128" s="72"/>
      <c r="O128" s="48">
        <f aca="true" t="shared" si="153" ref="O128:V128">IF(O127=0,"",обідл*O127/1000)</f>
        <v>1.904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/>
      <c r="AE128" s="47">
        <f t="shared" si="154"/>
      </c>
      <c r="AF128" s="46">
        <f t="shared" si="154"/>
      </c>
      <c r="AG128" s="72">
        <f t="shared" si="154"/>
      </c>
      <c r="AH128" s="169"/>
      <c r="AI128" s="166"/>
      <c r="AJ128" s="167"/>
      <c r="AK128" s="156"/>
      <c r="AL128" s="157"/>
      <c r="AM128" s="318"/>
      <c r="AN128" s="316"/>
      <c r="AP128">
        <v>127</v>
      </c>
      <c r="AQ128" s="61" t="s">
        <v>278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>
        <v>2.8</v>
      </c>
      <c r="BB128" s="61"/>
      <c r="BC128" s="61">
        <v>4.7</v>
      </c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>
        <v>47</v>
      </c>
      <c r="CG128" s="61"/>
      <c r="CH128" s="61"/>
      <c r="CI128" s="61"/>
      <c r="CJ128" s="61">
        <v>74.8</v>
      </c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/>
    </row>
    <row r="129" spans="1:131" ht="30.75" customHeight="1">
      <c r="A129" s="178" t="s">
        <v>40</v>
      </c>
      <c r="B129" s="178"/>
      <c r="C129" s="178"/>
      <c r="D129" s="178"/>
      <c r="E129" s="179"/>
      <c r="F129" s="82" t="s">
        <v>99</v>
      </c>
      <c r="G129" s="93">
        <f>VLOOKUP(завтрак1,таб,45,FALSE)</f>
        <v>0</v>
      </c>
      <c r="H129" s="37">
        <f>VLOOKUP(завтрак2,таб,45,FALSE)</f>
        <v>11.4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/>
      <c r="M129" s="28">
        <f>VLOOKUP(завтрак7,таб,45,FALSE)</f>
        <v>0</v>
      </c>
      <c r="N129" s="71"/>
      <c r="O129" s="39"/>
      <c r="P129" s="38">
        <f>VLOOKUP(обед2,таб,45,FALSE)</f>
        <v>12</v>
      </c>
      <c r="Q129" s="37">
        <f>VLOOKUP(обед3,таб,45,FALSE)</f>
        <v>0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/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8">
        <v>616062</v>
      </c>
      <c r="AI129" s="166">
        <f>AK129/сред</f>
        <v>0.02496</v>
      </c>
      <c r="AJ129" s="167"/>
      <c r="AK129" s="154">
        <f>SUM(G130:AG130)</f>
        <v>0.3744</v>
      </c>
      <c r="AL129" s="155"/>
      <c r="AM129" s="317">
        <v>11.67</v>
      </c>
      <c r="AN129" s="315">
        <f>AK129*AM129</f>
        <v>4.369248</v>
      </c>
      <c r="AP129">
        <v>128</v>
      </c>
      <c r="AQ129" s="61" t="s">
        <v>279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>
        <v>3</v>
      </c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>
        <v>35</v>
      </c>
      <c r="CI129" s="61"/>
      <c r="CJ129" s="61">
        <v>37</v>
      </c>
      <c r="CK129" s="61"/>
      <c r="CL129" s="61">
        <v>46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100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EA129">
        <v>3</v>
      </c>
    </row>
    <row r="130" spans="1:134" ht="30.75" customHeight="1">
      <c r="A130" s="180"/>
      <c r="B130" s="180"/>
      <c r="C130" s="180"/>
      <c r="D130" s="180"/>
      <c r="E130" s="181"/>
      <c r="F130" s="83" t="s">
        <v>100</v>
      </c>
      <c r="G130" s="92">
        <f aca="true" t="shared" si="155" ref="G130:M130">IF(G129=0,"",завтракл*G129/1000)</f>
      </c>
      <c r="H130" s="49">
        <f t="shared" si="155"/>
        <v>0.1824</v>
      </c>
      <c r="I130" s="45">
        <f t="shared" si="155"/>
      </c>
      <c r="J130" s="49">
        <f t="shared" si="155"/>
      </c>
      <c r="K130" s="45">
        <f t="shared" si="155"/>
      </c>
      <c r="L130" s="45"/>
      <c r="M130" s="46">
        <f t="shared" si="155"/>
      </c>
      <c r="N130" s="72"/>
      <c r="O130" s="50"/>
      <c r="P130" s="45">
        <f aca="true" t="shared" si="156" ref="P130:V130">IF(P129=0,"",обідл*P129/1000)</f>
        <v>0.192</v>
      </c>
      <c r="Q130" s="49">
        <f t="shared" si="156"/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/>
      <c r="AE130" s="49">
        <f t="shared" si="157"/>
      </c>
      <c r="AF130" s="45">
        <f t="shared" si="157"/>
      </c>
      <c r="AG130" s="77">
        <f t="shared" si="157"/>
      </c>
      <c r="AH130" s="169"/>
      <c r="AI130" s="166"/>
      <c r="AJ130" s="167"/>
      <c r="AK130" s="156"/>
      <c r="AL130" s="157"/>
      <c r="AM130" s="318"/>
      <c r="AN130" s="316"/>
      <c r="AP130">
        <v>129</v>
      </c>
      <c r="AQ130" s="61" t="s">
        <v>280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3.6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>
        <v>80.2</v>
      </c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  <c r="DN130">
        <v>28.8</v>
      </c>
      <c r="DO130">
        <v>33</v>
      </c>
      <c r="ED130">
        <v>6</v>
      </c>
    </row>
    <row r="131" spans="1:135" ht="30.75" customHeight="1">
      <c r="A131" s="176" t="s">
        <v>41</v>
      </c>
      <c r="B131" s="176"/>
      <c r="C131" s="176"/>
      <c r="D131" s="176"/>
      <c r="E131" s="177"/>
      <c r="F131" s="82" t="s">
        <v>99</v>
      </c>
      <c r="G131" s="90">
        <f>VLOOKUP(завтрак1,таб,46,FALSE)</f>
        <v>37</v>
      </c>
      <c r="H131" s="34">
        <f>VLOOKUP(завтрак2,таб,46,FALSE)</f>
        <v>21</v>
      </c>
      <c r="I131" s="35">
        <f>VLOOKUP(завтрак3,таб,46,FALSE)</f>
        <v>86.4</v>
      </c>
      <c r="J131" s="34">
        <f>VLOOKUP(завтрак4,таб,46,FALSE)</f>
        <v>0</v>
      </c>
      <c r="K131" s="35">
        <f>VLOOKUP(завтрак5,таб,46,FALSE)</f>
        <v>0</v>
      </c>
      <c r="L131" s="35"/>
      <c r="M131" s="28">
        <f>VLOOKUP(завтрак7,таб,46,FALSE)</f>
        <v>0</v>
      </c>
      <c r="N131" s="71"/>
      <c r="O131" s="36"/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73.5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/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8">
        <v>615084</v>
      </c>
      <c r="AI131" s="166">
        <f>AK131/сред</f>
        <v>0.21772666666666668</v>
      </c>
      <c r="AJ131" s="167"/>
      <c r="AK131" s="154">
        <f>SUM(G132:AG132)</f>
        <v>3.2659000000000002</v>
      </c>
      <c r="AL131" s="155"/>
      <c r="AM131" s="317">
        <v>11.67</v>
      </c>
      <c r="AN131" s="315">
        <f>AK131*AM131</f>
        <v>38.113053</v>
      </c>
      <c r="AP131">
        <v>130</v>
      </c>
      <c r="AQ131" s="61" t="s">
        <v>282</v>
      </c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>
        <v>11.3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>
        <v>2.3</v>
      </c>
      <c r="BX131" s="61"/>
      <c r="BY131" s="61"/>
      <c r="BZ131" s="61"/>
      <c r="CA131" s="61"/>
      <c r="CB131" s="61"/>
      <c r="CC131" s="61">
        <v>7.5</v>
      </c>
      <c r="CD131" s="61"/>
      <c r="CE131" s="61"/>
      <c r="CF131" s="61"/>
      <c r="CG131" s="61"/>
      <c r="CH131" s="61"/>
      <c r="CI131" s="61"/>
      <c r="CJ131" s="61">
        <v>73.5</v>
      </c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75</v>
      </c>
      <c r="EE131">
        <v>0.2</v>
      </c>
    </row>
    <row r="132" spans="1:136" ht="30.75" customHeight="1">
      <c r="A132" s="176"/>
      <c r="B132" s="176"/>
      <c r="C132" s="176"/>
      <c r="D132" s="176"/>
      <c r="E132" s="177"/>
      <c r="F132" s="83" t="s">
        <v>100</v>
      </c>
      <c r="G132" s="91">
        <f aca="true" t="shared" si="158" ref="G132:M132">IF(G131=0,"",завтракл*G131/1000)</f>
        <v>0.592</v>
      </c>
      <c r="H132" s="47">
        <f t="shared" si="158"/>
        <v>0.336</v>
      </c>
      <c r="I132" s="46">
        <f t="shared" si="158"/>
        <v>1.3824</v>
      </c>
      <c r="J132" s="47">
        <f t="shared" si="158"/>
      </c>
      <c r="K132" s="46">
        <f t="shared" si="158"/>
      </c>
      <c r="L132" s="46"/>
      <c r="M132" s="46">
        <f t="shared" si="158"/>
      </c>
      <c r="N132" s="72"/>
      <c r="O132" s="48"/>
      <c r="P132" s="46">
        <f aca="true" t="shared" si="159" ref="P132:V132">IF(P131=0,"",обідл*P131/1000)</f>
      </c>
      <c r="Q132" s="47">
        <f t="shared" si="159"/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0.9555</v>
      </c>
      <c r="AA132" s="47">
        <f t="shared" si="160"/>
      </c>
      <c r="AB132" s="46">
        <f t="shared" si="160"/>
      </c>
      <c r="AC132" s="47">
        <f t="shared" si="160"/>
      </c>
      <c r="AD132" s="46"/>
      <c r="AE132" s="47">
        <f t="shared" si="160"/>
      </c>
      <c r="AF132" s="46">
        <f t="shared" si="160"/>
      </c>
      <c r="AG132" s="72">
        <f t="shared" si="160"/>
      </c>
      <c r="AH132" s="169"/>
      <c r="AI132" s="166"/>
      <c r="AJ132" s="167"/>
      <c r="AK132" s="156"/>
      <c r="AL132" s="157"/>
      <c r="AM132" s="318"/>
      <c r="AN132" s="316"/>
      <c r="AP132">
        <v>131</v>
      </c>
      <c r="AQ132" s="61" t="s">
        <v>284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3.6</v>
      </c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>
        <v>104.4</v>
      </c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120</v>
      </c>
      <c r="DH132">
        <v>1.2</v>
      </c>
      <c r="EF132">
        <v>68.4</v>
      </c>
    </row>
    <row r="133" spans="1:111" ht="30.75" customHeight="1">
      <c r="A133" s="178" t="s">
        <v>133</v>
      </c>
      <c r="B133" s="178"/>
      <c r="C133" s="178"/>
      <c r="D133" s="178"/>
      <c r="E133" s="179"/>
      <c r="F133" s="82" t="s">
        <v>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/>
      <c r="M133" s="28">
        <f>VLOOKUP(завтрак7,таб,47,FALSE)</f>
        <v>0</v>
      </c>
      <c r="N133" s="71"/>
      <c r="O133" s="39"/>
      <c r="P133" s="38">
        <f>VLOOKUP(обед2,таб,47,FALSE)</f>
        <v>0</v>
      </c>
      <c r="Q133" s="37">
        <v>38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/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8">
        <v>615088</v>
      </c>
      <c r="AI133" s="166">
        <f>AK133/сред</f>
        <v>0.04053333333333333</v>
      </c>
      <c r="AJ133" s="167"/>
      <c r="AK133" s="154">
        <f>SUM(G134:AG134)</f>
        <v>0.608</v>
      </c>
      <c r="AL133" s="155"/>
      <c r="AM133" s="317">
        <v>60</v>
      </c>
      <c r="AN133" s="315">
        <f>AK133*AM133</f>
        <v>36.48</v>
      </c>
      <c r="AP133">
        <v>132</v>
      </c>
      <c r="AQ133" s="61" t="s">
        <v>286</v>
      </c>
      <c r="AR133" s="61"/>
      <c r="AS133" s="61"/>
      <c r="AT133" s="61"/>
      <c r="AU133" s="61"/>
      <c r="AV133" s="61"/>
      <c r="AW133" s="61"/>
      <c r="AX133" s="61"/>
      <c r="AY133" s="61"/>
      <c r="AZ133" s="61"/>
      <c r="BA133" s="61">
        <v>2.8</v>
      </c>
      <c r="BB133" s="61"/>
      <c r="BC133" s="61">
        <v>4.7</v>
      </c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>
        <v>33.4</v>
      </c>
      <c r="CH133" s="61"/>
      <c r="CI133" s="61">
        <v>6.3</v>
      </c>
      <c r="CJ133" s="61">
        <v>20.3</v>
      </c>
      <c r="CK133" s="61">
        <v>7.5</v>
      </c>
      <c r="CL133" s="61"/>
      <c r="CM133" s="61"/>
      <c r="CN133" s="61"/>
      <c r="CO133" s="61">
        <v>23.3</v>
      </c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75</v>
      </c>
      <c r="DG133">
        <v>8.3</v>
      </c>
    </row>
    <row r="134" spans="1:137" ht="30.75" customHeight="1">
      <c r="A134" s="180"/>
      <c r="B134" s="180"/>
      <c r="C134" s="180"/>
      <c r="D134" s="180"/>
      <c r="E134" s="181"/>
      <c r="F134" s="83" t="s">
        <v>100</v>
      </c>
      <c r="G134" s="92">
        <f aca="true" t="shared" si="161" ref="G134:M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/>
      <c r="M134" s="46">
        <f t="shared" si="161"/>
      </c>
      <c r="N134" s="72"/>
      <c r="O134" s="50"/>
      <c r="P134" s="45">
        <f aca="true" t="shared" si="162" ref="P134:V134">IF(P133=0,"",обідл*P133/1000)</f>
      </c>
      <c r="Q134" s="49">
        <f t="shared" si="162"/>
        <v>0.608</v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/>
      <c r="AE134" s="49">
        <f t="shared" si="163"/>
      </c>
      <c r="AF134" s="45">
        <f t="shared" si="163"/>
      </c>
      <c r="AG134" s="77">
        <f t="shared" si="163"/>
      </c>
      <c r="AH134" s="169"/>
      <c r="AI134" s="166"/>
      <c r="AJ134" s="167"/>
      <c r="AK134" s="156"/>
      <c r="AL134" s="157"/>
      <c r="AM134" s="318"/>
      <c r="AN134" s="316"/>
      <c r="AP134">
        <v>133</v>
      </c>
      <c r="AQ134" s="61" t="s">
        <v>288</v>
      </c>
      <c r="AR134" s="61"/>
      <c r="AS134" s="61"/>
      <c r="AT134" s="61"/>
      <c r="AU134" s="61"/>
      <c r="AV134" s="61"/>
      <c r="AW134" s="61"/>
      <c r="AX134" s="61"/>
      <c r="AY134" s="61"/>
      <c r="AZ134" s="61"/>
      <c r="BA134" s="61">
        <v>2.8</v>
      </c>
      <c r="BB134" s="61"/>
      <c r="BC134" s="61">
        <v>4.7</v>
      </c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>
        <v>97.1</v>
      </c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75</v>
      </c>
      <c r="EG134">
        <v>0.4</v>
      </c>
    </row>
    <row r="135" spans="1:138" ht="30.75" customHeight="1">
      <c r="A135" s="181" t="s">
        <v>457</v>
      </c>
      <c r="B135" s="184"/>
      <c r="C135" s="184"/>
      <c r="D135" s="184"/>
      <c r="E135" s="184"/>
      <c r="F135" s="82" t="s">
        <v>99</v>
      </c>
      <c r="G135" s="90">
        <f>VLOOKUP(завтрак1,таб,48,FALSE)</f>
        <v>46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/>
      <c r="M135" s="28">
        <f>VLOOKUP(завтрак7,таб,48,FALSE)</f>
        <v>0</v>
      </c>
      <c r="N135" s="71"/>
      <c r="O135" s="36"/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/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8"/>
      <c r="AI135" s="166">
        <f>AK135/сред</f>
        <v>0.04906666666666667</v>
      </c>
      <c r="AJ135" s="167"/>
      <c r="AK135" s="154">
        <f>SUM(G136:AG136)</f>
        <v>0.736</v>
      </c>
      <c r="AL135" s="155"/>
      <c r="AM135" s="317">
        <v>60</v>
      </c>
      <c r="AN135" s="315">
        <f>AK135*AM135</f>
        <v>44.16</v>
      </c>
      <c r="AP135">
        <v>134</v>
      </c>
      <c r="AQ135" s="61" t="s">
        <v>289</v>
      </c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>
        <v>2.6</v>
      </c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>
        <v>7.5</v>
      </c>
      <c r="CD135" s="61"/>
      <c r="CE135" s="61"/>
      <c r="CF135" s="61"/>
      <c r="CG135" s="61"/>
      <c r="CH135" s="61">
        <v>103.5</v>
      </c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75</v>
      </c>
      <c r="DH135">
        <v>0.8</v>
      </c>
      <c r="EH135">
        <v>0.15</v>
      </c>
    </row>
    <row r="136" spans="1:109" ht="30.75" customHeight="1">
      <c r="A136" s="185"/>
      <c r="B136" s="186"/>
      <c r="C136" s="186"/>
      <c r="D136" s="186"/>
      <c r="E136" s="186"/>
      <c r="F136" s="83" t="s">
        <v>100</v>
      </c>
      <c r="G136" s="91">
        <f aca="true" t="shared" si="164" ref="G136:N136">IF(G135=0,"",завтракл*G135/1000)</f>
        <v>0.736</v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/>
      <c r="M136" s="46">
        <f t="shared" si="164"/>
      </c>
      <c r="N136" s="72">
        <f t="shared" si="164"/>
      </c>
      <c r="O136" s="48"/>
      <c r="P136" s="46">
        <f aca="true" t="shared" si="165" ref="P136:V136">IF(P135=0,"",обідл*P135/1000)</f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/>
      <c r="AE136" s="47">
        <f t="shared" si="166"/>
      </c>
      <c r="AF136" s="46">
        <f t="shared" si="166"/>
      </c>
      <c r="AG136" s="72">
        <f t="shared" si="166"/>
      </c>
      <c r="AH136" s="169"/>
      <c r="AI136" s="166"/>
      <c r="AJ136" s="167"/>
      <c r="AK136" s="156"/>
      <c r="AL136" s="157"/>
      <c r="AM136" s="318"/>
      <c r="AN136" s="316"/>
      <c r="AP136">
        <v>135</v>
      </c>
      <c r="AQ136" s="62" t="s">
        <v>291</v>
      </c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>
        <v>9</v>
      </c>
      <c r="BH136" s="61"/>
      <c r="BI136" s="61">
        <v>9</v>
      </c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>
        <v>77.3</v>
      </c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>
        <v>75</v>
      </c>
    </row>
    <row r="137" spans="1:112" ht="30.75" customHeight="1">
      <c r="A137" s="178" t="s">
        <v>42</v>
      </c>
      <c r="B137" s="178"/>
      <c r="C137" s="178"/>
      <c r="D137" s="178"/>
      <c r="E137" s="179"/>
      <c r="F137" s="82" t="s">
        <v>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/>
      <c r="M137" s="28">
        <f>VLOOKUP(завтрак7,таб,49,FALSE)</f>
        <v>0</v>
      </c>
      <c r="N137" s="71"/>
      <c r="O137" s="39"/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/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8">
        <v>615094</v>
      </c>
      <c r="AI137" s="166">
        <f>AK137/сред</f>
        <v>0</v>
      </c>
      <c r="AJ137" s="167"/>
      <c r="AK137" s="154">
        <f>SUM(G138:AG138)</f>
        <v>0</v>
      </c>
      <c r="AL137" s="155"/>
      <c r="AM137" s="317">
        <f>IF(AK137=0,0,CO117)</f>
        <v>0</v>
      </c>
      <c r="AN137" s="315">
        <f>AK137*AM137</f>
        <v>0</v>
      </c>
      <c r="AP137">
        <v>136</v>
      </c>
      <c r="AQ137" s="61" t="s">
        <v>292</v>
      </c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>
        <v>11.3</v>
      </c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0.8</v>
      </c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>
        <v>21.4</v>
      </c>
      <c r="CI137" s="61"/>
      <c r="CJ137" s="61">
        <v>60</v>
      </c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>
        <v>75</v>
      </c>
      <c r="DH137">
        <v>1.5</v>
      </c>
    </row>
    <row r="138" spans="1:140" ht="30.75" customHeight="1">
      <c r="A138" s="180"/>
      <c r="B138" s="180"/>
      <c r="C138" s="180"/>
      <c r="D138" s="180"/>
      <c r="E138" s="181"/>
      <c r="F138" s="83" t="s">
        <v>100</v>
      </c>
      <c r="G138" s="92">
        <f aca="true" t="shared" si="167" ref="G138:M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/>
      <c r="M138" s="46">
        <f t="shared" si="167"/>
      </c>
      <c r="N138" s="72"/>
      <c r="O138" s="50"/>
      <c r="P138" s="45">
        <f aca="true" t="shared" si="168" ref="P138:V138">IF(P137=0,"",обідл*P137/1000)</f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/>
      <c r="AE138" s="49">
        <f t="shared" si="169"/>
      </c>
      <c r="AF138" s="45">
        <f t="shared" si="169"/>
      </c>
      <c r="AG138" s="77">
        <f t="shared" si="169"/>
      </c>
      <c r="AH138" s="169"/>
      <c r="AI138" s="166"/>
      <c r="AJ138" s="167"/>
      <c r="AK138" s="156"/>
      <c r="AL138" s="157"/>
      <c r="AM138" s="318"/>
      <c r="AN138" s="316"/>
      <c r="AP138">
        <v>137</v>
      </c>
      <c r="AQ138" s="61" t="s">
        <v>293</v>
      </c>
      <c r="AR138" s="61"/>
      <c r="AS138" s="61"/>
      <c r="AT138" s="61"/>
      <c r="AU138" s="61"/>
      <c r="AV138" s="61"/>
      <c r="AW138" s="61"/>
      <c r="AX138" s="61"/>
      <c r="AY138" s="61"/>
      <c r="AZ138" s="61"/>
      <c r="BA138" s="61">
        <v>2.8</v>
      </c>
      <c r="BB138" s="61"/>
      <c r="BC138" s="61">
        <v>4.7</v>
      </c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>
        <v>62.3</v>
      </c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>
        <v>75</v>
      </c>
      <c r="EJ138">
        <v>28.5</v>
      </c>
    </row>
    <row r="139" spans="1:139" ht="30.75" customHeight="1">
      <c r="A139" s="170" t="s">
        <v>127</v>
      </c>
      <c r="B139" s="170"/>
      <c r="C139" s="170"/>
      <c r="D139" s="170"/>
      <c r="E139" s="171"/>
      <c r="F139" s="82" t="s">
        <v>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/>
      <c r="M139" s="28">
        <f>VLOOKUP(завтрак7,таб,50,FALSE)</f>
        <v>0</v>
      </c>
      <c r="N139" s="71"/>
      <c r="O139" s="36"/>
      <c r="P139" s="35">
        <f>VLOOKUP(обед2,таб,50,FALSE)</f>
        <v>0</v>
      </c>
      <c r="Q139" s="34">
        <f>VLOOKUP(обед3,таб,50,FALSE)</f>
        <v>0</v>
      </c>
      <c r="R139" s="35"/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/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8"/>
      <c r="AI139" s="166">
        <f>AK139/сред</f>
        <v>0</v>
      </c>
      <c r="AJ139" s="167"/>
      <c r="AK139" s="154">
        <f>SUM(G140:AG140)</f>
        <v>0</v>
      </c>
      <c r="AL139" s="155"/>
      <c r="AM139" s="317">
        <f>IF(AK139=0,0,CN117)</f>
        <v>0</v>
      </c>
      <c r="AN139" s="315">
        <f>AK139*AM139</f>
        <v>0</v>
      </c>
      <c r="AP139">
        <v>138</v>
      </c>
      <c r="AQ139" s="61" t="s">
        <v>296</v>
      </c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>
        <v>15</v>
      </c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>
        <v>71.3</v>
      </c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>
        <v>75</v>
      </c>
      <c r="EI139">
        <v>3.8</v>
      </c>
    </row>
    <row r="140" spans="1:109" ht="30.75" customHeight="1">
      <c r="A140" s="170"/>
      <c r="B140" s="170"/>
      <c r="C140" s="170"/>
      <c r="D140" s="170"/>
      <c r="E140" s="171"/>
      <c r="F140" s="83" t="s">
        <v>100</v>
      </c>
      <c r="G140" s="91">
        <f aca="true" t="shared" si="170" ref="G140:M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/>
      <c r="M140" s="46">
        <f t="shared" si="170"/>
      </c>
      <c r="N140" s="72"/>
      <c r="O140" s="48"/>
      <c r="P140" s="46">
        <f aca="true" t="shared" si="171" ref="P140:V140">IF(P139=0,"",обідл*P139/1000)</f>
      </c>
      <c r="Q140" s="47">
        <f t="shared" si="171"/>
      </c>
      <c r="R140" s="46"/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/>
      <c r="AE140" s="47">
        <f t="shared" si="172"/>
      </c>
      <c r="AF140" s="46">
        <f t="shared" si="172"/>
      </c>
      <c r="AG140" s="72">
        <f t="shared" si="172"/>
      </c>
      <c r="AH140" s="169"/>
      <c r="AI140" s="166"/>
      <c r="AJ140" s="167"/>
      <c r="AK140" s="156"/>
      <c r="AL140" s="157"/>
      <c r="AM140" s="318"/>
      <c r="AN140" s="316"/>
      <c r="AP140">
        <v>139</v>
      </c>
      <c r="AQ140" s="61" t="s">
        <v>297</v>
      </c>
      <c r="BC140">
        <v>4.5</v>
      </c>
      <c r="BN140">
        <v>36.8</v>
      </c>
      <c r="CJ140">
        <v>37.5</v>
      </c>
      <c r="CO140">
        <v>45</v>
      </c>
      <c r="DE140" s="61">
        <v>150</v>
      </c>
    </row>
    <row r="141" spans="1:141" ht="30.75" customHeight="1">
      <c r="A141" s="178" t="s">
        <v>43</v>
      </c>
      <c r="B141" s="178"/>
      <c r="C141" s="178"/>
      <c r="D141" s="178"/>
      <c r="E141" s="179"/>
      <c r="F141" s="82" t="s">
        <v>99</v>
      </c>
      <c r="G141" s="93">
        <f>VLOOKUP(завтрак1,таб,49,FALSE)</f>
        <v>0</v>
      </c>
      <c r="H141" s="37">
        <v>1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/>
      <c r="M141" s="28">
        <f>VLOOKUP(завтрак7,таб,51,FALSE)</f>
        <v>0</v>
      </c>
      <c r="N141" s="71"/>
      <c r="O141" s="39"/>
      <c r="P141" s="38">
        <v>1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/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8"/>
      <c r="AI141" s="166">
        <f>AK141/сред</f>
        <v>0.0021333333333333334</v>
      </c>
      <c r="AJ141" s="167"/>
      <c r="AK141" s="154">
        <f>SUM(G142:AG142)</f>
        <v>0.032</v>
      </c>
      <c r="AL141" s="155"/>
      <c r="AM141" s="317">
        <v>60</v>
      </c>
      <c r="AN141" s="315">
        <f>AK141*AM141</f>
        <v>1.92</v>
      </c>
      <c r="AP141">
        <v>140</v>
      </c>
      <c r="AQ141" s="61" t="s">
        <v>298</v>
      </c>
      <c r="AU141" s="96"/>
      <c r="BG141" s="61">
        <v>15</v>
      </c>
      <c r="BI141">
        <v>12</v>
      </c>
      <c r="BJ141">
        <v>0.75</v>
      </c>
      <c r="CI141">
        <v>28.1</v>
      </c>
      <c r="DE141" s="61">
        <v>75</v>
      </c>
      <c r="EK141">
        <v>0.8</v>
      </c>
    </row>
    <row r="142" spans="1:109" ht="30.75" customHeight="1">
      <c r="A142" s="180"/>
      <c r="B142" s="180"/>
      <c r="C142" s="180"/>
      <c r="D142" s="180"/>
      <c r="E142" s="181"/>
      <c r="F142" s="83" t="s">
        <v>100</v>
      </c>
      <c r="G142" s="92">
        <f aca="true" t="shared" si="173" ref="G142:M142">IF(G141=0,"",завтракл*G141/1000)</f>
      </c>
      <c r="H142" s="49">
        <f t="shared" si="173"/>
        <v>0.016</v>
      </c>
      <c r="I142" s="45">
        <f t="shared" si="173"/>
      </c>
      <c r="J142" s="49">
        <f t="shared" si="173"/>
      </c>
      <c r="K142" s="45">
        <f t="shared" si="173"/>
      </c>
      <c r="L142" s="45"/>
      <c r="M142" s="46">
        <f t="shared" si="173"/>
      </c>
      <c r="N142" s="72"/>
      <c r="O142" s="50"/>
      <c r="P142" s="45">
        <f aca="true" t="shared" si="174" ref="P142:V142">IF(P141=0,"",обідл*P141/1000)</f>
        <v>0.016</v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/>
      <c r="AE142" s="49">
        <f t="shared" si="175"/>
      </c>
      <c r="AF142" s="45">
        <f t="shared" si="175"/>
      </c>
      <c r="AG142" s="77">
        <f t="shared" si="175"/>
      </c>
      <c r="AH142" s="169"/>
      <c r="AI142" s="166"/>
      <c r="AJ142" s="167"/>
      <c r="AK142" s="156"/>
      <c r="AL142" s="157"/>
      <c r="AM142" s="318"/>
      <c r="AN142" s="316"/>
      <c r="AP142">
        <v>141</v>
      </c>
      <c r="AQ142" s="61" t="s">
        <v>300</v>
      </c>
      <c r="BG142" s="61">
        <v>7.5</v>
      </c>
      <c r="BJ142">
        <v>1</v>
      </c>
      <c r="CF142">
        <v>26.6</v>
      </c>
      <c r="DE142" s="61">
        <v>75</v>
      </c>
    </row>
    <row r="143" spans="1:112" ht="30.75" customHeight="1">
      <c r="A143" s="176" t="s">
        <v>58</v>
      </c>
      <c r="B143" s="176"/>
      <c r="C143" s="176"/>
      <c r="D143" s="176"/>
      <c r="E143" s="177"/>
      <c r="F143" s="82" t="s">
        <v>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/>
      <c r="M143" s="28">
        <f>VLOOKUP(завтрак7,таб,68,FALSE)</f>
        <v>0</v>
      </c>
      <c r="N143" s="71"/>
      <c r="O143" s="36"/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/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8"/>
      <c r="AI143" s="166">
        <f>AK143/сред</f>
        <v>0</v>
      </c>
      <c r="AJ143" s="167"/>
      <c r="AK143" s="154">
        <f>SUM(G144:AG144)</f>
        <v>0</v>
      </c>
      <c r="AL143" s="155"/>
      <c r="AM143" s="317">
        <f>IF(AK143=0,0,DF117)</f>
        <v>0</v>
      </c>
      <c r="AN143" s="315">
        <f>AK143*AM143</f>
        <v>0</v>
      </c>
      <c r="AP143">
        <v>142</v>
      </c>
      <c r="AQ143" s="61" t="s">
        <v>301</v>
      </c>
      <c r="BC143">
        <v>2.3</v>
      </c>
      <c r="BJ143">
        <v>0.75</v>
      </c>
      <c r="DE143" s="61">
        <v>75</v>
      </c>
      <c r="DG143">
        <v>45</v>
      </c>
      <c r="DH143">
        <v>0.4</v>
      </c>
    </row>
    <row r="144" spans="1:111" ht="30.75" customHeight="1">
      <c r="A144" s="176"/>
      <c r="B144" s="176"/>
      <c r="C144" s="176"/>
      <c r="D144" s="176"/>
      <c r="E144" s="177"/>
      <c r="F144" s="83" t="s">
        <v>100</v>
      </c>
      <c r="G144" s="91">
        <f aca="true" t="shared" si="176" ref="G144:M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/>
      <c r="M144" s="46">
        <f t="shared" si="176"/>
      </c>
      <c r="N144" s="72"/>
      <c r="O144" s="48"/>
      <c r="P144" s="46">
        <f aca="true" t="shared" si="177" ref="P144:V144">IF(P143=0,"",обідл*P143/1000)</f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/>
      <c r="AE144" s="47">
        <f t="shared" si="178"/>
      </c>
      <c r="AF144" s="46">
        <f t="shared" si="178"/>
      </c>
      <c r="AG144" s="72">
        <f t="shared" si="178"/>
      </c>
      <c r="AH144" s="169"/>
      <c r="AI144" s="166"/>
      <c r="AJ144" s="167"/>
      <c r="AK144" s="156"/>
      <c r="AL144" s="157"/>
      <c r="AM144" s="318"/>
      <c r="AN144" s="316"/>
      <c r="AP144">
        <v>143</v>
      </c>
      <c r="AQ144" s="61" t="s">
        <v>302</v>
      </c>
      <c r="BA144">
        <v>2.8</v>
      </c>
      <c r="BC144">
        <v>4.7</v>
      </c>
      <c r="CH144">
        <v>50.6</v>
      </c>
      <c r="CJ144">
        <v>15</v>
      </c>
      <c r="DE144" s="61">
        <v>75</v>
      </c>
      <c r="DG144">
        <v>16.5</v>
      </c>
    </row>
    <row r="145" spans="1:119" ht="30.75" customHeight="1">
      <c r="A145" s="178" t="s">
        <v>44</v>
      </c>
      <c r="B145" s="178"/>
      <c r="C145" s="178"/>
      <c r="D145" s="178"/>
      <c r="E145" s="179"/>
      <c r="F145" s="82" t="s">
        <v>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/>
      <c r="M145" s="28">
        <f>VLOOKUP(завтрак7,таб,52,FALSE)</f>
        <v>0</v>
      </c>
      <c r="N145" s="71"/>
      <c r="O145" s="39"/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/>
      <c r="AB145" s="38">
        <f>VLOOKUP(ужин3,таб,52,FALSE)</f>
        <v>0</v>
      </c>
      <c r="AC145" s="37">
        <f>VLOOKUP(ужин4,таб,52,FALSE)</f>
        <v>0</v>
      </c>
      <c r="AD145" s="38"/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8"/>
      <c r="AI145" s="166">
        <f>AK145/сред</f>
        <v>0</v>
      </c>
      <c r="AJ145" s="167"/>
      <c r="AK145" s="154">
        <f>SUM(G146:AG146)</f>
        <v>0</v>
      </c>
      <c r="AL145" s="155"/>
      <c r="AM145" s="317">
        <f>IF(AK145=0,0,CP117)</f>
        <v>0</v>
      </c>
      <c r="AN145" s="315">
        <f>AK145*AM145</f>
        <v>0</v>
      </c>
      <c r="AP145">
        <v>144</v>
      </c>
      <c r="AQ145" s="61" t="s">
        <v>303</v>
      </c>
      <c r="BC145">
        <v>2.3</v>
      </c>
      <c r="CA145">
        <v>35.8</v>
      </c>
      <c r="CN145">
        <v>25.6</v>
      </c>
      <c r="DE145" s="61">
        <v>75</v>
      </c>
      <c r="DO145">
        <v>33.8</v>
      </c>
    </row>
    <row r="146" spans="1:109" ht="30.75" customHeight="1">
      <c r="A146" s="180"/>
      <c r="B146" s="180"/>
      <c r="C146" s="180"/>
      <c r="D146" s="180"/>
      <c r="E146" s="181"/>
      <c r="F146" s="83" t="s">
        <v>100</v>
      </c>
      <c r="G146" s="92">
        <f aca="true" t="shared" si="179" ref="G146:M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/>
      <c r="M146" s="46">
        <f t="shared" si="179"/>
      </c>
      <c r="N146" s="72"/>
      <c r="O146" s="50"/>
      <c r="P146" s="45">
        <f aca="true" t="shared" si="180" ref="P146:V146">IF(P145=0,"",обідл*P145/1000)</f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/>
      <c r="AE146" s="49">
        <f t="shared" si="181"/>
      </c>
      <c r="AF146" s="45">
        <f t="shared" si="181"/>
      </c>
      <c r="AG146" s="77">
        <f t="shared" si="181"/>
      </c>
      <c r="AH146" s="169"/>
      <c r="AI146" s="166"/>
      <c r="AJ146" s="167"/>
      <c r="AK146" s="156"/>
      <c r="AL146" s="157"/>
      <c r="AM146" s="318"/>
      <c r="AN146" s="316"/>
      <c r="AP146">
        <v>145</v>
      </c>
      <c r="AQ146" s="61" t="s">
        <v>304</v>
      </c>
      <c r="BA146">
        <v>0.5</v>
      </c>
      <c r="BC146">
        <v>1.5</v>
      </c>
      <c r="BW146">
        <v>0.5</v>
      </c>
      <c r="CI146">
        <v>20.5</v>
      </c>
      <c r="CN146">
        <v>66.2</v>
      </c>
      <c r="DE146" s="61">
        <v>75</v>
      </c>
    </row>
    <row r="147" spans="1:118" ht="30.75" customHeight="1">
      <c r="A147" s="176" t="s">
        <v>443</v>
      </c>
      <c r="B147" s="176"/>
      <c r="C147" s="176"/>
      <c r="D147" s="176"/>
      <c r="E147" s="177"/>
      <c r="F147" s="82" t="s">
        <v>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/>
      <c r="L147" s="35"/>
      <c r="M147" s="28">
        <v>0</v>
      </c>
      <c r="N147" s="71">
        <v>50</v>
      </c>
      <c r="O147" s="36"/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/>
      <c r="S147" s="34"/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/>
      <c r="AE147" s="34">
        <v>50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8">
        <v>616001</v>
      </c>
      <c r="AI147" s="166">
        <f>AK147/сред</f>
        <v>0.10333333333333333</v>
      </c>
      <c r="AJ147" s="167"/>
      <c r="AK147" s="154">
        <f>SUM(G148:AG148)</f>
        <v>1.55</v>
      </c>
      <c r="AL147" s="155"/>
      <c r="AM147" s="317">
        <v>27.72</v>
      </c>
      <c r="AN147" s="315">
        <f>AK147*AM147</f>
        <v>42.966</v>
      </c>
      <c r="AP147">
        <v>146</v>
      </c>
      <c r="AQ147" s="61" t="s">
        <v>305</v>
      </c>
      <c r="BC147">
        <v>2.3</v>
      </c>
      <c r="CI147">
        <v>11.4</v>
      </c>
      <c r="CN147">
        <v>56.5</v>
      </c>
      <c r="DE147" s="61">
        <v>75</v>
      </c>
      <c r="DN147">
        <v>23</v>
      </c>
    </row>
    <row r="148" spans="1:119" ht="30.75" customHeight="1">
      <c r="A148" s="176"/>
      <c r="B148" s="176"/>
      <c r="C148" s="176"/>
      <c r="D148" s="176"/>
      <c r="E148" s="177"/>
      <c r="F148" s="83" t="s">
        <v>100</v>
      </c>
      <c r="G148" s="91">
        <f aca="true" t="shared" si="182" ref="G148:M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</c>
      <c r="L148" s="46"/>
      <c r="M148" s="46">
        <f t="shared" si="182"/>
      </c>
      <c r="N148" s="72">
        <v>0.9</v>
      </c>
      <c r="O148" s="48"/>
      <c r="P148" s="46">
        <f aca="true" t="shared" si="183" ref="P148:V148">IF(P147=0,"",обідл*P147/1000)</f>
      </c>
      <c r="Q148" s="47">
        <f t="shared" si="183"/>
      </c>
      <c r="R148" s="46"/>
      <c r="S148" s="47">
        <f t="shared" si="183"/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/>
      <c r="AE148" s="47">
        <f t="shared" si="184"/>
        <v>0.65</v>
      </c>
      <c r="AF148" s="46">
        <f t="shared" si="184"/>
      </c>
      <c r="AG148" s="72">
        <f t="shared" si="184"/>
      </c>
      <c r="AH148" s="169"/>
      <c r="AI148" s="166"/>
      <c r="AJ148" s="167"/>
      <c r="AK148" s="156"/>
      <c r="AL148" s="157"/>
      <c r="AM148" s="318"/>
      <c r="AN148" s="316"/>
      <c r="AP148">
        <v>147</v>
      </c>
      <c r="AQ148" s="61" t="s">
        <v>306</v>
      </c>
      <c r="BC148">
        <v>2.3</v>
      </c>
      <c r="BJ148">
        <v>0.5</v>
      </c>
      <c r="CH148">
        <v>34.7</v>
      </c>
      <c r="CN148">
        <v>21.2</v>
      </c>
      <c r="DE148" s="61">
        <v>75</v>
      </c>
      <c r="DO148">
        <v>22.5</v>
      </c>
    </row>
    <row r="149" spans="1:142" ht="30.75" customHeight="1">
      <c r="A149" s="178" t="s">
        <v>45</v>
      </c>
      <c r="B149" s="178"/>
      <c r="C149" s="178"/>
      <c r="D149" s="178"/>
      <c r="E149" s="179"/>
      <c r="F149" s="82" t="s">
        <v>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/>
      <c r="M149" s="28">
        <f>IF(завтрак7="хліб житній",50,(VLOOKUP(завтрак7,таб,54,FALSE)))</f>
        <v>0</v>
      </c>
      <c r="N149" s="71"/>
      <c r="O149" s="39"/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v>50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/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8">
        <v>616002</v>
      </c>
      <c r="AI149" s="166">
        <f>AK149/сред</f>
        <v>0.05333333333333334</v>
      </c>
      <c r="AJ149" s="167"/>
      <c r="AK149" s="154">
        <f>SUM(G150:AG150)</f>
        <v>0.8</v>
      </c>
      <c r="AL149" s="155"/>
      <c r="AM149" s="317">
        <v>15.7</v>
      </c>
      <c r="AN149" s="315">
        <f>AK149*AM149</f>
        <v>12.56</v>
      </c>
      <c r="AP149">
        <v>148</v>
      </c>
      <c r="AQ149" s="61" t="s">
        <v>307</v>
      </c>
      <c r="BA149">
        <v>2.5</v>
      </c>
      <c r="BC149">
        <v>2.3</v>
      </c>
      <c r="CH149">
        <v>56.3</v>
      </c>
      <c r="DE149" s="61">
        <v>75</v>
      </c>
      <c r="DO149">
        <v>30.9</v>
      </c>
      <c r="EL149">
        <v>2</v>
      </c>
    </row>
    <row r="150" spans="1:109" ht="30.75" customHeight="1">
      <c r="A150" s="180"/>
      <c r="B150" s="180"/>
      <c r="C150" s="180"/>
      <c r="D150" s="180"/>
      <c r="E150" s="181"/>
      <c r="F150" s="84" t="s">
        <v>100</v>
      </c>
      <c r="G150" s="92">
        <f aca="true" t="shared" si="185" ref="G150:M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/>
      <c r="M150" s="46">
        <f t="shared" si="185"/>
      </c>
      <c r="N150" s="72"/>
      <c r="O150" s="50"/>
      <c r="P150" s="45">
        <f aca="true" t="shared" si="186" ref="P150:V150">IF(P149=0,"",обідл*P149/1000)</f>
      </c>
      <c r="Q150" s="49">
        <f t="shared" si="186"/>
      </c>
      <c r="R150" s="45">
        <f t="shared" si="186"/>
        <v>0.8</v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/>
      <c r="AE150" s="49">
        <f t="shared" si="187"/>
      </c>
      <c r="AF150" s="45">
        <f t="shared" si="187"/>
      </c>
      <c r="AG150" s="77">
        <f t="shared" si="187"/>
      </c>
      <c r="AH150" s="169"/>
      <c r="AI150" s="166"/>
      <c r="AJ150" s="167"/>
      <c r="AK150" s="156"/>
      <c r="AL150" s="157"/>
      <c r="AM150" s="318"/>
      <c r="AN150" s="316"/>
      <c r="AP150">
        <v>150</v>
      </c>
      <c r="AQ150" s="61" t="s">
        <v>309</v>
      </c>
      <c r="BA150">
        <v>2.8</v>
      </c>
      <c r="BC150">
        <v>4.7</v>
      </c>
      <c r="BV150">
        <v>17.6</v>
      </c>
      <c r="CF150">
        <v>33.8</v>
      </c>
      <c r="CH150">
        <v>46.9</v>
      </c>
      <c r="DE150" s="61">
        <v>75</v>
      </c>
    </row>
    <row r="151" spans="1:144" ht="30.75" customHeight="1">
      <c r="A151" s="170" t="s">
        <v>452</v>
      </c>
      <c r="B151" s="170"/>
      <c r="C151" s="170"/>
      <c r="D151" s="170"/>
      <c r="E151" s="171"/>
      <c r="F151" s="82" t="s">
        <v>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/>
      <c r="M151" s="28">
        <f>VLOOKUP(завтрак7,таб,55,FALSE)</f>
        <v>0</v>
      </c>
      <c r="N151" s="71"/>
      <c r="O151" s="36"/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/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8"/>
      <c r="AI151" s="229">
        <f>AK151/сред</f>
        <v>0</v>
      </c>
      <c r="AJ151" s="230"/>
      <c r="AK151" s="231">
        <f>SUM(G152:AG152)</f>
        <v>0</v>
      </c>
      <c r="AL151" s="232"/>
      <c r="AM151" s="317">
        <f>IF(AK151=0,0,CS117)</f>
        <v>0</v>
      </c>
      <c r="AN151" s="315">
        <f>AK151*AM151</f>
        <v>0</v>
      </c>
      <c r="AP151">
        <v>151</v>
      </c>
      <c r="AQ151" s="61" t="s">
        <v>310</v>
      </c>
      <c r="BA151">
        <v>0.4</v>
      </c>
      <c r="BC151">
        <v>2.3</v>
      </c>
      <c r="DE151" s="61">
        <v>75</v>
      </c>
      <c r="DO151">
        <v>66.1</v>
      </c>
      <c r="EM151">
        <v>18.8</v>
      </c>
      <c r="EN151">
        <v>2.9</v>
      </c>
    </row>
    <row r="152" spans="1:145" ht="30.75" customHeight="1">
      <c r="A152" s="170"/>
      <c r="B152" s="170"/>
      <c r="C152" s="170"/>
      <c r="D152" s="170"/>
      <c r="E152" s="171"/>
      <c r="F152" s="84" t="s">
        <v>100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/>
      <c r="M152" s="46">
        <f t="shared" si="188"/>
      </c>
      <c r="N152" s="72">
        <f t="shared" si="188"/>
      </c>
      <c r="O152" s="48"/>
      <c r="P152" s="46">
        <f aca="true" t="shared" si="189" ref="P152:V152">IF(P151=0,"",обідл*P151/1000)</f>
      </c>
      <c r="Q152" s="46">
        <f t="shared" si="189"/>
      </c>
      <c r="R152" s="46"/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/>
      <c r="AE152" s="46">
        <f t="shared" si="190"/>
      </c>
      <c r="AF152" s="46">
        <f t="shared" si="190"/>
      </c>
      <c r="AG152" s="72">
        <f t="shared" si="190"/>
      </c>
      <c r="AH152" s="314"/>
      <c r="AI152" s="229"/>
      <c r="AJ152" s="230"/>
      <c r="AK152" s="233"/>
      <c r="AL152" s="234"/>
      <c r="AM152" s="318"/>
      <c r="AN152" s="316"/>
      <c r="AP152">
        <v>152</v>
      </c>
      <c r="AQ152" s="61" t="s">
        <v>312</v>
      </c>
      <c r="BA152">
        <v>2.8</v>
      </c>
      <c r="BC152">
        <v>4.7</v>
      </c>
      <c r="CH152">
        <v>65.6</v>
      </c>
      <c r="DE152" s="61">
        <v>75</v>
      </c>
      <c r="DO152">
        <v>23.4</v>
      </c>
      <c r="EO152">
        <v>1.5</v>
      </c>
    </row>
    <row r="153" spans="1:147" ht="30.75" customHeight="1">
      <c r="A153" s="178" t="s">
        <v>134</v>
      </c>
      <c r="B153" s="178"/>
      <c r="C153" s="178"/>
      <c r="D153" s="178"/>
      <c r="E153" s="179"/>
      <c r="F153" s="70" t="s">
        <v>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/>
      <c r="M153" s="28">
        <f>VLOOKUP(завтрак7,таб,56,FALSE)</f>
        <v>0</v>
      </c>
      <c r="N153" s="71"/>
      <c r="O153" s="39"/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/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8"/>
      <c r="AI153" s="166">
        <f>AK153/сред</f>
        <v>0</v>
      </c>
      <c r="AJ153" s="167"/>
      <c r="AK153" s="154">
        <f>SUM(G154:AG154)</f>
        <v>0</v>
      </c>
      <c r="AL153" s="155"/>
      <c r="AM153" s="317">
        <f>IF(AK153=0,0,CT117)</f>
        <v>0</v>
      </c>
      <c r="AN153" s="315">
        <f>AK153*AM153</f>
        <v>0</v>
      </c>
      <c r="AP153">
        <v>153</v>
      </c>
      <c r="AQ153" s="61" t="s">
        <v>315</v>
      </c>
      <c r="BC153">
        <v>2.3</v>
      </c>
      <c r="BH153">
        <v>54</v>
      </c>
      <c r="DE153" s="61">
        <v>75</v>
      </c>
      <c r="DN153">
        <v>20</v>
      </c>
      <c r="EL153">
        <v>3</v>
      </c>
      <c r="EN153">
        <v>2.9</v>
      </c>
      <c r="EP153">
        <v>0.2</v>
      </c>
      <c r="EQ153">
        <v>0.1</v>
      </c>
    </row>
    <row r="154" spans="1:146" ht="30.75" customHeight="1">
      <c r="A154" s="180"/>
      <c r="B154" s="180"/>
      <c r="C154" s="180"/>
      <c r="D154" s="180"/>
      <c r="E154" s="181"/>
      <c r="F154" s="100" t="s">
        <v>100</v>
      </c>
      <c r="G154" s="48">
        <f aca="true" t="shared" si="191" ref="G154:M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/>
      <c r="M154" s="99">
        <f t="shared" si="191"/>
      </c>
      <c r="N154" s="72"/>
      <c r="O154" s="47"/>
      <c r="P154" s="99">
        <f aca="true" t="shared" si="192" ref="P154:V154">IF(P153=0,"",обідл*P153/1000)</f>
      </c>
      <c r="Q154" s="99">
        <f t="shared" si="192"/>
      </c>
      <c r="R154" s="99"/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/>
      <c r="AE154" s="99">
        <f t="shared" si="193"/>
      </c>
      <c r="AF154" s="99">
        <f t="shared" si="193"/>
      </c>
      <c r="AG154" s="72">
        <f t="shared" si="193"/>
      </c>
      <c r="AH154" s="169"/>
      <c r="AI154" s="166"/>
      <c r="AJ154" s="167"/>
      <c r="AK154" s="156"/>
      <c r="AL154" s="157"/>
      <c r="AM154" s="318"/>
      <c r="AN154" s="316"/>
      <c r="AP154">
        <v>154</v>
      </c>
      <c r="AQ154" s="61" t="s">
        <v>318</v>
      </c>
      <c r="BC154">
        <v>2.3</v>
      </c>
      <c r="BI154">
        <v>23.3</v>
      </c>
      <c r="CN154">
        <v>50.3</v>
      </c>
      <c r="DE154" s="61">
        <v>75</v>
      </c>
      <c r="EL154">
        <v>10.1</v>
      </c>
      <c r="EP154">
        <v>0.4</v>
      </c>
    </row>
    <row r="155" spans="1:142" ht="30.75" customHeight="1">
      <c r="A155" s="176" t="s">
        <v>128</v>
      </c>
      <c r="B155" s="176"/>
      <c r="C155" s="176"/>
      <c r="D155" s="176"/>
      <c r="E155" s="177"/>
      <c r="F155" s="70" t="s">
        <v>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/>
      <c r="M155" s="31">
        <f>VLOOKUP(завтрак7,таб,57,FALSE)</f>
        <v>0</v>
      </c>
      <c r="N155" s="78"/>
      <c r="O155" s="36"/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/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4"/>
      <c r="AI155" s="166">
        <f>AK155/сред</f>
        <v>0</v>
      </c>
      <c r="AJ155" s="167"/>
      <c r="AK155" s="154">
        <f>SUM(G156:AG156)</f>
        <v>0</v>
      </c>
      <c r="AL155" s="155"/>
      <c r="AM155" s="317">
        <f>IF(AK155=0,0,CU117)</f>
        <v>0</v>
      </c>
      <c r="AN155" s="315">
        <f>AK155*AM155</f>
        <v>0</v>
      </c>
      <c r="AP155">
        <v>155</v>
      </c>
      <c r="AQ155" s="61" t="s">
        <v>319</v>
      </c>
      <c r="BG155">
        <v>9</v>
      </c>
      <c r="CH155">
        <v>62.8</v>
      </c>
      <c r="DE155" s="61">
        <v>75</v>
      </c>
      <c r="DO155">
        <v>17.6</v>
      </c>
      <c r="EL155">
        <v>1.8</v>
      </c>
    </row>
    <row r="156" spans="1:148" ht="30.75" customHeight="1">
      <c r="A156" s="176"/>
      <c r="B156" s="176"/>
      <c r="C156" s="176"/>
      <c r="D156" s="176"/>
      <c r="E156" s="177"/>
      <c r="F156" s="84" t="s">
        <v>100</v>
      </c>
      <c r="G156" s="91">
        <f aca="true" t="shared" si="194" ref="G156:M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/>
      <c r="M156" s="46">
        <f t="shared" si="194"/>
      </c>
      <c r="N156" s="48"/>
      <c r="O156" s="91"/>
      <c r="P156" s="46">
        <f aca="true" t="shared" si="195" ref="P156:V156">IF(P155=0,"",обідл*P155/1000)</f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/>
      <c r="AE156" s="46">
        <f t="shared" si="196"/>
      </c>
      <c r="AF156" s="46">
        <f t="shared" si="196"/>
      </c>
      <c r="AG156" s="101">
        <f t="shared" si="196"/>
      </c>
      <c r="AH156" s="314"/>
      <c r="AI156" s="227"/>
      <c r="AJ156" s="228"/>
      <c r="AK156" s="156"/>
      <c r="AL156" s="157"/>
      <c r="AM156" s="318"/>
      <c r="AN156" s="316"/>
      <c r="AP156">
        <v>156</v>
      </c>
      <c r="AQ156" s="61" t="s">
        <v>320</v>
      </c>
      <c r="BE156">
        <v>30</v>
      </c>
      <c r="CC156">
        <v>6</v>
      </c>
      <c r="DE156" s="61">
        <v>120</v>
      </c>
      <c r="ER156">
        <v>0.5</v>
      </c>
    </row>
    <row r="157" spans="1:109" ht="30.75" customHeight="1">
      <c r="A157" s="178" t="s">
        <v>458</v>
      </c>
      <c r="B157" s="178"/>
      <c r="C157" s="178"/>
      <c r="D157" s="178"/>
      <c r="E157" s="179"/>
      <c r="F157" s="82" t="s">
        <v>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/>
      <c r="M157" s="28">
        <f>VLOOKUP(завтрак7,таб,58,FALSE)</f>
        <v>0</v>
      </c>
      <c r="N157" s="71"/>
      <c r="O157" s="39"/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/>
      <c r="AD157" s="38"/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8">
        <v>616015</v>
      </c>
      <c r="AI157" s="166">
        <f>AK157/сред</f>
        <v>0</v>
      </c>
      <c r="AJ157" s="167"/>
      <c r="AK157" s="154">
        <f>SUM(G158:AG158)</f>
        <v>0</v>
      </c>
      <c r="AL157" s="155"/>
      <c r="AM157" s="317"/>
      <c r="AN157" s="315">
        <f>AK157*AM157</f>
        <v>0</v>
      </c>
      <c r="AP157">
        <v>157</v>
      </c>
      <c r="AQ157" s="61" t="s">
        <v>323</v>
      </c>
      <c r="BE157">
        <v>28.8</v>
      </c>
      <c r="BM157">
        <v>5.4</v>
      </c>
      <c r="DE157" s="61">
        <v>120</v>
      </c>
    </row>
    <row r="158" spans="1:109" ht="30.75" customHeight="1">
      <c r="A158" s="180"/>
      <c r="B158" s="180"/>
      <c r="C158" s="180"/>
      <c r="D158" s="180"/>
      <c r="E158" s="181"/>
      <c r="F158" s="83" t="s">
        <v>100</v>
      </c>
      <c r="G158" s="92">
        <f aca="true" t="shared" si="197" ref="G158:M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/>
      <c r="M158" s="46">
        <f t="shared" si="197"/>
      </c>
      <c r="N158" s="72"/>
      <c r="O158" s="50"/>
      <c r="P158" s="45">
        <f aca="true" t="shared" si="198" ref="P158:V158">IF(P157=0,"",обідл*P157/1000)</f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/>
      <c r="AE158" s="49">
        <f t="shared" si="199"/>
      </c>
      <c r="AF158" s="45">
        <f t="shared" si="199"/>
      </c>
      <c r="AG158" s="72">
        <f t="shared" si="199"/>
      </c>
      <c r="AH158" s="169"/>
      <c r="AI158" s="166"/>
      <c r="AJ158" s="167"/>
      <c r="AK158" s="156"/>
      <c r="AL158" s="157"/>
      <c r="AM158" s="318"/>
      <c r="AN158" s="316"/>
      <c r="AP158">
        <v>158</v>
      </c>
      <c r="AQ158" s="61" t="s">
        <v>324</v>
      </c>
      <c r="CB158">
        <v>18</v>
      </c>
      <c r="DE158" s="61">
        <v>120</v>
      </c>
    </row>
    <row r="159" spans="1:149" ht="30.75" customHeight="1">
      <c r="A159" s="176" t="s">
        <v>47</v>
      </c>
      <c r="B159" s="176"/>
      <c r="C159" s="176"/>
      <c r="D159" s="176"/>
      <c r="E159" s="177"/>
      <c r="F159" s="82" t="s">
        <v>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v>2.5</v>
      </c>
      <c r="K159" s="35">
        <f>VLOOKUP(завтрак5,таб,59,FALSE)</f>
        <v>0</v>
      </c>
      <c r="L159" s="35"/>
      <c r="M159" s="28">
        <f>VLOOKUP(завтрак7,таб,59,FALSE)</f>
        <v>0</v>
      </c>
      <c r="N159" s="71"/>
      <c r="O159" s="36"/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/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8"/>
      <c r="AI159" s="166">
        <f>AK159/сред</f>
        <v>0.0026666666666666666</v>
      </c>
      <c r="AJ159" s="167"/>
      <c r="AK159" s="154">
        <f>SUM(G160:AG160)</f>
        <v>0.04</v>
      </c>
      <c r="AL159" s="155"/>
      <c r="AM159" s="317">
        <v>288</v>
      </c>
      <c r="AN159" s="315">
        <f>AK159*AM159</f>
        <v>11.52</v>
      </c>
      <c r="AP159">
        <v>159</v>
      </c>
      <c r="AQ159" s="61" t="s">
        <v>325</v>
      </c>
      <c r="DE159" s="61">
        <v>150</v>
      </c>
      <c r="ES159">
        <v>15</v>
      </c>
    </row>
    <row r="160" spans="1:109" ht="30.75" customHeight="1">
      <c r="A160" s="176"/>
      <c r="B160" s="176"/>
      <c r="C160" s="176"/>
      <c r="D160" s="176"/>
      <c r="E160" s="177"/>
      <c r="F160" s="83" t="s">
        <v>100</v>
      </c>
      <c r="G160" s="91">
        <f aca="true" t="shared" si="200" ref="G160:M160">IF(G159=0,"",завтракл*G159/1000)</f>
      </c>
      <c r="H160" s="47">
        <f t="shared" si="200"/>
      </c>
      <c r="I160" s="46">
        <f t="shared" si="200"/>
      </c>
      <c r="J160" s="47">
        <f t="shared" si="200"/>
        <v>0.04</v>
      </c>
      <c r="K160" s="46">
        <f t="shared" si="200"/>
      </c>
      <c r="L160" s="46"/>
      <c r="M160" s="46">
        <f t="shared" si="200"/>
      </c>
      <c r="N160" s="72"/>
      <c r="O160" s="48"/>
      <c r="P160" s="46">
        <f aca="true" t="shared" si="201" ref="P160:V160">IF(P159=0,"",обідл*P159/1000)</f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/>
      <c r="AE160" s="47">
        <f t="shared" si="202"/>
      </c>
      <c r="AF160" s="46">
        <f t="shared" si="202"/>
      </c>
      <c r="AG160" s="72">
        <f t="shared" si="202"/>
      </c>
      <c r="AH160" s="169"/>
      <c r="AI160" s="166"/>
      <c r="AJ160" s="167"/>
      <c r="AK160" s="156"/>
      <c r="AL160" s="157"/>
      <c r="AM160" s="318"/>
      <c r="AN160" s="316"/>
      <c r="AP160">
        <v>160</v>
      </c>
      <c r="AQ160" s="61" t="s">
        <v>327</v>
      </c>
      <c r="BD160">
        <v>142.5</v>
      </c>
      <c r="CW160">
        <v>4.5</v>
      </c>
      <c r="DE160" s="61">
        <v>150</v>
      </c>
    </row>
    <row r="161" spans="1:152" ht="30.75" customHeight="1">
      <c r="A161" s="178" t="s">
        <v>2</v>
      </c>
      <c r="B161" s="178"/>
      <c r="C161" s="178"/>
      <c r="D161" s="178"/>
      <c r="E161" s="179"/>
      <c r="F161" s="82" t="s">
        <v>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/>
      <c r="M161" s="28">
        <f>VLOOKUP(завтрак7,таб,60,FALSE)</f>
        <v>0</v>
      </c>
      <c r="N161" s="71"/>
      <c r="O161" s="39"/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v>0.6</v>
      </c>
      <c r="AD161" s="38"/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8">
        <v>616022</v>
      </c>
      <c r="AI161" s="166">
        <f>AK161/сред</f>
        <v>0.00052</v>
      </c>
      <c r="AJ161" s="167"/>
      <c r="AK161" s="154">
        <f>SUM(G162:AG162)</f>
        <v>0.0078</v>
      </c>
      <c r="AL161" s="155"/>
      <c r="AM161" s="317">
        <v>452</v>
      </c>
      <c r="AN161" s="315">
        <f>AK161*AM161</f>
        <v>3.5256</v>
      </c>
      <c r="AP161">
        <v>161</v>
      </c>
      <c r="AQ161" s="61" t="s">
        <v>328</v>
      </c>
      <c r="BC161">
        <v>5</v>
      </c>
      <c r="CI161">
        <v>14.5</v>
      </c>
      <c r="CJ161">
        <v>11.3</v>
      </c>
      <c r="DE161" s="61">
        <v>250</v>
      </c>
      <c r="DH161">
        <v>2.5</v>
      </c>
      <c r="EM161">
        <v>1.3</v>
      </c>
      <c r="ET161">
        <v>37.5</v>
      </c>
      <c r="EU161">
        <v>26.3</v>
      </c>
      <c r="EV161">
        <v>0.8</v>
      </c>
    </row>
    <row r="162" spans="1:114" ht="30.75" customHeight="1">
      <c r="A162" s="180"/>
      <c r="B162" s="180"/>
      <c r="C162" s="180"/>
      <c r="D162" s="180"/>
      <c r="E162" s="181"/>
      <c r="F162" s="83" t="s">
        <v>100</v>
      </c>
      <c r="G162" s="92">
        <f aca="true" t="shared" si="203" ref="G162:M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/>
      <c r="M162" s="46">
        <f t="shared" si="203"/>
      </c>
      <c r="N162" s="72"/>
      <c r="O162" s="50"/>
      <c r="P162" s="45">
        <f aca="true" t="shared" si="204" ref="P162:V162">IF(P161=0,"",обідл*P161/1000)</f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  <v>0.0078</v>
      </c>
      <c r="AD162" s="45"/>
      <c r="AE162" s="49">
        <f t="shared" si="205"/>
      </c>
      <c r="AF162" s="45">
        <f t="shared" si="205"/>
      </c>
      <c r="AG162" s="77">
        <f t="shared" si="205"/>
      </c>
      <c r="AH162" s="169"/>
      <c r="AI162" s="166"/>
      <c r="AJ162" s="167"/>
      <c r="AK162" s="156"/>
      <c r="AL162" s="157"/>
      <c r="AM162" s="318"/>
      <c r="AN162" s="316"/>
      <c r="AP162">
        <v>162</v>
      </c>
      <c r="AQ162" s="61" t="s">
        <v>332</v>
      </c>
      <c r="BC162">
        <v>5</v>
      </c>
      <c r="CG162">
        <v>31.3</v>
      </c>
      <c r="CH162">
        <v>75</v>
      </c>
      <c r="CI162">
        <v>8.7</v>
      </c>
      <c r="CT162">
        <v>19.5</v>
      </c>
      <c r="DA162">
        <v>0.1</v>
      </c>
      <c r="DE162" s="61">
        <v>250</v>
      </c>
      <c r="DJ162">
        <v>11.3</v>
      </c>
    </row>
    <row r="163" spans="1:145" ht="30.75" customHeight="1">
      <c r="A163" s="176" t="s">
        <v>48</v>
      </c>
      <c r="B163" s="176"/>
      <c r="C163" s="176"/>
      <c r="D163" s="176"/>
      <c r="E163" s="177"/>
      <c r="F163" s="82" t="s">
        <v>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/>
      <c r="M163" s="28">
        <f>VLOOKUP(завтрак7,таб,61,FALSE)</f>
        <v>0</v>
      </c>
      <c r="N163" s="71"/>
      <c r="O163" s="36"/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/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8"/>
      <c r="AI163" s="166">
        <v>0.003</v>
      </c>
      <c r="AJ163" s="167"/>
      <c r="AK163" s="154">
        <f>AI163*сред</f>
        <v>0.045</v>
      </c>
      <c r="AL163" s="155"/>
      <c r="AM163" s="317">
        <v>10.24</v>
      </c>
      <c r="AN163" s="315">
        <f>AK163*AM163</f>
        <v>0.4608</v>
      </c>
      <c r="AP163">
        <v>163</v>
      </c>
      <c r="AQ163" s="61" t="s">
        <v>333</v>
      </c>
      <c r="BC163">
        <v>2.5</v>
      </c>
      <c r="BJ163">
        <v>0.1</v>
      </c>
      <c r="CG163">
        <v>71.3</v>
      </c>
      <c r="CI163">
        <v>7.5</v>
      </c>
      <c r="CJ163">
        <v>12</v>
      </c>
      <c r="DE163" s="61">
        <v>250</v>
      </c>
      <c r="EO163">
        <v>1</v>
      </c>
    </row>
    <row r="164" spans="1:121" ht="30.75" customHeight="1">
      <c r="A164" s="176"/>
      <c r="B164" s="176"/>
      <c r="C164" s="176"/>
      <c r="D164" s="176"/>
      <c r="E164" s="177"/>
      <c r="F164" s="83" t="s">
        <v>100</v>
      </c>
      <c r="G164" s="91">
        <f aca="true" t="shared" si="206" ref="G164:M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/>
      <c r="M164" s="46">
        <f t="shared" si="206"/>
      </c>
      <c r="N164" s="72"/>
      <c r="O164" s="48"/>
      <c r="P164" s="46">
        <f aca="true" t="shared" si="207" ref="P164:V164">IF(P163=0,"",обідл*P163/1000)</f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/>
      <c r="AE164" s="47">
        <f t="shared" si="208"/>
      </c>
      <c r="AF164" s="46">
        <f t="shared" si="208"/>
      </c>
      <c r="AG164" s="72">
        <f t="shared" si="208"/>
      </c>
      <c r="AH164" s="169"/>
      <c r="AI164" s="166"/>
      <c r="AJ164" s="167"/>
      <c r="AK164" s="156"/>
      <c r="AL164" s="157"/>
      <c r="AM164" s="318"/>
      <c r="AN164" s="316"/>
      <c r="AP164">
        <v>164</v>
      </c>
      <c r="AQ164" s="61" t="s">
        <v>334</v>
      </c>
      <c r="BC164">
        <v>2</v>
      </c>
      <c r="CG164">
        <v>71.5</v>
      </c>
      <c r="CI164">
        <v>7.5</v>
      </c>
      <c r="CJ164">
        <v>13.5</v>
      </c>
      <c r="DE164" s="61">
        <v>250</v>
      </c>
      <c r="DQ164">
        <v>50</v>
      </c>
    </row>
    <row r="165" spans="1:154" ht="30.75" customHeight="1">
      <c r="A165" s="178" t="s">
        <v>49</v>
      </c>
      <c r="B165" s="178"/>
      <c r="C165" s="178"/>
      <c r="D165" s="178"/>
      <c r="E165" s="179"/>
      <c r="F165" s="82" t="s">
        <v>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/>
      <c r="M165" s="28">
        <f>VLOOKUP(завтрак7,таб,62,FALSE)</f>
        <v>0</v>
      </c>
      <c r="N165" s="71"/>
      <c r="O165" s="39"/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/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8"/>
      <c r="AI165" s="166">
        <f>AK165/сред</f>
        <v>0</v>
      </c>
      <c r="AJ165" s="167"/>
      <c r="AK165" s="154">
        <f>SUM(G166:AG166)</f>
        <v>0</v>
      </c>
      <c r="AL165" s="155"/>
      <c r="AM165" s="317">
        <f>IF(AK165=0,0,CZ117)</f>
        <v>0</v>
      </c>
      <c r="AN165" s="315">
        <f>AK165*AM165</f>
        <v>0</v>
      </c>
      <c r="AP165">
        <v>165</v>
      </c>
      <c r="AQ165" s="61" t="s">
        <v>172</v>
      </c>
      <c r="BC165">
        <v>5</v>
      </c>
      <c r="BW165">
        <v>1.5</v>
      </c>
      <c r="CG165">
        <v>89.5</v>
      </c>
      <c r="CI165">
        <v>12</v>
      </c>
      <c r="CJ165">
        <v>13.5</v>
      </c>
      <c r="CM165">
        <v>7.5</v>
      </c>
      <c r="CO165">
        <v>53.5</v>
      </c>
      <c r="DE165" s="61">
        <v>250</v>
      </c>
      <c r="DM165">
        <v>5</v>
      </c>
      <c r="EX165">
        <v>0.3</v>
      </c>
    </row>
    <row r="166" spans="1:109" ht="30.75" customHeight="1">
      <c r="A166" s="180"/>
      <c r="B166" s="180"/>
      <c r="C166" s="180"/>
      <c r="D166" s="180"/>
      <c r="E166" s="181"/>
      <c r="F166" s="83" t="s">
        <v>100</v>
      </c>
      <c r="G166" s="92">
        <f aca="true" t="shared" si="209" ref="G166:M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/>
      <c r="M166" s="46">
        <f t="shared" si="209"/>
      </c>
      <c r="N166" s="72"/>
      <c r="O166" s="50"/>
      <c r="P166" s="45">
        <f aca="true" t="shared" si="210" ref="P166:V166">IF(P165=0,"",обідл*P165/1000)</f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/>
      <c r="AE166" s="49">
        <f t="shared" si="211"/>
      </c>
      <c r="AF166" s="45">
        <f t="shared" si="211"/>
      </c>
      <c r="AG166" s="77">
        <f t="shared" si="211"/>
      </c>
      <c r="AH166" s="169"/>
      <c r="AI166" s="166"/>
      <c r="AJ166" s="167"/>
      <c r="AK166" s="156"/>
      <c r="AL166" s="157"/>
      <c r="AM166" s="318"/>
      <c r="AN166" s="316"/>
      <c r="AP166">
        <v>166</v>
      </c>
      <c r="AQ166" s="61" t="s">
        <v>335</v>
      </c>
      <c r="BC166">
        <v>2</v>
      </c>
      <c r="BU166">
        <v>50</v>
      </c>
      <c r="BV166">
        <v>13.8</v>
      </c>
      <c r="CG166">
        <v>75</v>
      </c>
      <c r="CI166">
        <v>7.5</v>
      </c>
      <c r="CJ166">
        <v>12</v>
      </c>
      <c r="DE166" s="61">
        <v>250</v>
      </c>
    </row>
    <row r="167" spans="1:128" ht="30.75" customHeight="1">
      <c r="A167" s="176" t="s">
        <v>50</v>
      </c>
      <c r="B167" s="176"/>
      <c r="C167" s="176"/>
      <c r="D167" s="176"/>
      <c r="E167" s="177"/>
      <c r="F167" s="82" t="s">
        <v>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/>
      <c r="M167" s="28">
        <f>VLOOKUP(завтрак7,таб,63,FALSE)</f>
        <v>0</v>
      </c>
      <c r="N167" s="71"/>
      <c r="O167" s="36"/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/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8"/>
      <c r="AI167" s="166">
        <f>AK167/сред</f>
        <v>0</v>
      </c>
      <c r="AJ167" s="167"/>
      <c r="AK167" s="154">
        <f>SUM(G168:AG168)</f>
        <v>0</v>
      </c>
      <c r="AL167" s="155"/>
      <c r="AM167" s="317">
        <f>IF(AK167=0,0,DA117)</f>
        <v>0</v>
      </c>
      <c r="AN167" s="315">
        <f>AK167*AM167</f>
        <v>0</v>
      </c>
      <c r="AP167">
        <v>167</v>
      </c>
      <c r="AQ167" s="61" t="s">
        <v>338</v>
      </c>
      <c r="BV167">
        <v>17</v>
      </c>
      <c r="CI167">
        <v>6</v>
      </c>
      <c r="CJ167">
        <v>18.5</v>
      </c>
      <c r="DE167" s="61">
        <v>250</v>
      </c>
      <c r="DX167">
        <v>3.8</v>
      </c>
    </row>
    <row r="168" spans="1:147" ht="30.75" customHeight="1">
      <c r="A168" s="176"/>
      <c r="B168" s="176"/>
      <c r="C168" s="176"/>
      <c r="D168" s="176"/>
      <c r="E168" s="177"/>
      <c r="F168" s="83" t="s">
        <v>100</v>
      </c>
      <c r="G168" s="95">
        <f aca="true" t="shared" si="212" ref="G168:M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/>
      <c r="M168" s="51">
        <f t="shared" si="212"/>
      </c>
      <c r="N168" s="74"/>
      <c r="O168" s="53"/>
      <c r="P168" s="51">
        <f aca="true" t="shared" si="213" ref="P168:V168">IF(P167=0,"",обідл*P167/1000)</f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/>
      <c r="AE168" s="52">
        <f t="shared" si="214"/>
      </c>
      <c r="AF168" s="51">
        <f t="shared" si="214"/>
      </c>
      <c r="AG168" s="74">
        <f t="shared" si="214"/>
      </c>
      <c r="AH168" s="169"/>
      <c r="AI168" s="166"/>
      <c r="AJ168" s="167"/>
      <c r="AK168" s="156"/>
      <c r="AL168" s="157"/>
      <c r="AM168" s="318"/>
      <c r="AN168" s="316"/>
      <c r="AP168">
        <v>168</v>
      </c>
      <c r="AQ168" s="61" t="s">
        <v>339</v>
      </c>
      <c r="BC168">
        <v>4.5</v>
      </c>
      <c r="BR168">
        <v>26.3</v>
      </c>
      <c r="BV168">
        <v>8</v>
      </c>
      <c r="CI168">
        <v>13.4</v>
      </c>
      <c r="CJ168">
        <v>9</v>
      </c>
      <c r="DE168" s="61">
        <v>150</v>
      </c>
      <c r="DG168">
        <v>15</v>
      </c>
      <c r="DX168">
        <v>2.3</v>
      </c>
      <c r="EQ168">
        <v>0.2</v>
      </c>
    </row>
    <row r="169" spans="1:151" ht="30.75" customHeight="1">
      <c r="A169" s="176" t="s">
        <v>51</v>
      </c>
      <c r="B169" s="176"/>
      <c r="C169" s="176"/>
      <c r="D169" s="176"/>
      <c r="E169" s="177"/>
      <c r="F169" s="82" t="s">
        <v>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/>
      <c r="M169" s="28">
        <f>VLOOKUP(завтрак7,таб,64,FALSE)</f>
        <v>0</v>
      </c>
      <c r="N169" s="71"/>
      <c r="O169" s="36"/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0.5</v>
      </c>
      <c r="AD169" s="35"/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8"/>
      <c r="AI169" s="166">
        <f>AK169/сред</f>
        <v>0.0004333333333333333</v>
      </c>
      <c r="AJ169" s="167"/>
      <c r="AK169" s="154">
        <f>SUM(G170:AG170)</f>
        <v>0.0065</v>
      </c>
      <c r="AL169" s="155"/>
      <c r="AM169" s="317">
        <f>IF(AK169=0,0,DB117)</f>
        <v>0</v>
      </c>
      <c r="AN169" s="315">
        <f>AK169*AM169</f>
        <v>0</v>
      </c>
      <c r="AP169">
        <v>169</v>
      </c>
      <c r="AQ169" s="61" t="s">
        <v>340</v>
      </c>
      <c r="AZ169">
        <v>3</v>
      </c>
      <c r="DE169" s="61">
        <v>150</v>
      </c>
      <c r="EE169">
        <v>0.4</v>
      </c>
      <c r="EU169">
        <v>72.8</v>
      </c>
    </row>
    <row r="170" spans="1:113" ht="30.75" customHeight="1">
      <c r="A170" s="176"/>
      <c r="B170" s="176"/>
      <c r="C170" s="176"/>
      <c r="D170" s="176"/>
      <c r="E170" s="177"/>
      <c r="F170" s="83" t="s">
        <v>100</v>
      </c>
      <c r="G170" s="91">
        <f aca="true" t="shared" si="215" ref="G170:M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/>
      <c r="M170" s="46">
        <f t="shared" si="215"/>
      </c>
      <c r="N170" s="72"/>
      <c r="O170" s="48"/>
      <c r="P170" s="46">
        <f aca="true" t="shared" si="216" ref="P170:V170">IF(P169=0,"",обідл*P169/1000)</f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  <v>0.0065</v>
      </c>
      <c r="AD170" s="46"/>
      <c r="AE170" s="47">
        <f t="shared" si="217"/>
      </c>
      <c r="AF170" s="46">
        <f t="shared" si="217"/>
      </c>
      <c r="AG170" s="72">
        <f t="shared" si="217"/>
      </c>
      <c r="AH170" s="169"/>
      <c r="AI170" s="166"/>
      <c r="AJ170" s="167"/>
      <c r="AK170" s="156"/>
      <c r="AL170" s="157"/>
      <c r="AM170" s="318"/>
      <c r="AN170" s="316"/>
      <c r="AP170">
        <v>170</v>
      </c>
      <c r="AQ170" s="61" t="s">
        <v>341</v>
      </c>
      <c r="AV170">
        <v>146.4</v>
      </c>
      <c r="BC170">
        <v>3</v>
      </c>
      <c r="BI170">
        <v>24</v>
      </c>
      <c r="BJ170">
        <v>0.3</v>
      </c>
      <c r="BL170">
        <v>15</v>
      </c>
      <c r="DE170" s="61">
        <v>150</v>
      </c>
      <c r="DI170">
        <v>18</v>
      </c>
    </row>
    <row r="171" spans="1:154" ht="30.75" customHeight="1">
      <c r="A171" s="176" t="s">
        <v>52</v>
      </c>
      <c r="B171" s="176"/>
      <c r="C171" s="176"/>
      <c r="D171" s="176"/>
      <c r="E171" s="177"/>
      <c r="F171" s="82" t="s">
        <v>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/>
      <c r="M171" s="28">
        <f>VLOOKUP(завтрак7,таб,65,FALSE)</f>
        <v>0</v>
      </c>
      <c r="N171" s="71"/>
      <c r="O171" s="39"/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/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8"/>
      <c r="AI171" s="166">
        <f>AK171/сред</f>
        <v>0</v>
      </c>
      <c r="AJ171" s="167"/>
      <c r="AK171" s="154">
        <f>SUM(G172:AG172)</f>
        <v>0</v>
      </c>
      <c r="AL171" s="155"/>
      <c r="AM171" s="317">
        <f>IF(AK171=0,0,DC117)</f>
        <v>0</v>
      </c>
      <c r="AN171" s="315">
        <f>AK171*AM171</f>
        <v>0</v>
      </c>
      <c r="AP171">
        <v>171</v>
      </c>
      <c r="AQ171" s="61" t="s">
        <v>342</v>
      </c>
      <c r="AV171">
        <v>36.6</v>
      </c>
      <c r="BC171">
        <v>7.5</v>
      </c>
      <c r="CG171">
        <v>34.5</v>
      </c>
      <c r="CI171">
        <v>8.7</v>
      </c>
      <c r="CJ171">
        <v>15</v>
      </c>
      <c r="CM171">
        <v>7.5</v>
      </c>
      <c r="DE171" s="61">
        <v>150</v>
      </c>
      <c r="DG171">
        <v>22.5</v>
      </c>
      <c r="DN171">
        <v>28.1</v>
      </c>
      <c r="EM171">
        <v>15</v>
      </c>
      <c r="EX171">
        <v>0.5</v>
      </c>
    </row>
    <row r="172" spans="1:156" ht="30.75" customHeight="1">
      <c r="A172" s="176"/>
      <c r="B172" s="176"/>
      <c r="C172" s="176"/>
      <c r="D172" s="176"/>
      <c r="E172" s="177"/>
      <c r="F172" s="83" t="s">
        <v>100</v>
      </c>
      <c r="G172" s="92">
        <f aca="true" t="shared" si="218" ref="G172:M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/>
      <c r="M172" s="46">
        <f t="shared" si="218"/>
      </c>
      <c r="N172" s="72"/>
      <c r="O172" s="50"/>
      <c r="P172" s="45">
        <f aca="true" t="shared" si="219" ref="P172:V172">IF(P171=0,"",обідл*P171/1000)</f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/>
      <c r="AE172" s="49">
        <f t="shared" si="220"/>
      </c>
      <c r="AF172" s="45">
        <f t="shared" si="220"/>
      </c>
      <c r="AG172" s="77">
        <f t="shared" si="220"/>
      </c>
      <c r="AH172" s="169"/>
      <c r="AI172" s="166"/>
      <c r="AJ172" s="167"/>
      <c r="AK172" s="156"/>
      <c r="AL172" s="157"/>
      <c r="AM172" s="318"/>
      <c r="AN172" s="316"/>
      <c r="AP172">
        <v>172</v>
      </c>
      <c r="AQ172" s="61" t="s">
        <v>345</v>
      </c>
      <c r="AV172">
        <v>54.9</v>
      </c>
      <c r="BC172">
        <v>7.5</v>
      </c>
      <c r="CI172">
        <v>26.1</v>
      </c>
      <c r="CJ172">
        <v>22.5</v>
      </c>
      <c r="CN172">
        <v>25.9</v>
      </c>
      <c r="DE172" s="61">
        <v>150</v>
      </c>
      <c r="DN172">
        <v>46.9</v>
      </c>
      <c r="EM172">
        <v>15</v>
      </c>
      <c r="EY172">
        <v>43.1</v>
      </c>
      <c r="EZ172">
        <v>0.5</v>
      </c>
    </row>
    <row r="173" spans="1:109" ht="30.75" customHeight="1">
      <c r="A173" s="176" t="s">
        <v>68</v>
      </c>
      <c r="B173" s="176"/>
      <c r="C173" s="176"/>
      <c r="D173" s="176"/>
      <c r="E173" s="177"/>
      <c r="F173" s="82" t="s">
        <v>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/>
      <c r="M173" s="28">
        <f>VLOOKUP(завтрак7,таб,70,FALSE)</f>
        <v>0</v>
      </c>
      <c r="N173" s="71"/>
      <c r="O173" s="36"/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/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8"/>
      <c r="AI173" s="166">
        <f>AK173/сред</f>
        <v>0</v>
      </c>
      <c r="AJ173" s="167"/>
      <c r="AK173" s="154">
        <f>SUM(G174:AG174)</f>
        <v>0</v>
      </c>
      <c r="AL173" s="155"/>
      <c r="AM173" s="317">
        <f>IF(AK173=0,0,DH117)</f>
        <v>0</v>
      </c>
      <c r="AN173" s="315">
        <f>AK173*AM173</f>
        <v>0</v>
      </c>
      <c r="AP173">
        <v>173</v>
      </c>
      <c r="AQ173" s="61" t="s">
        <v>348</v>
      </c>
      <c r="AZ173">
        <v>3.8</v>
      </c>
      <c r="BD173">
        <v>60</v>
      </c>
      <c r="BT173">
        <v>51</v>
      </c>
      <c r="DE173" s="61">
        <v>150</v>
      </c>
    </row>
    <row r="174" spans="1:146" ht="30.75" customHeight="1">
      <c r="A174" s="176"/>
      <c r="B174" s="176"/>
      <c r="C174" s="176"/>
      <c r="D174" s="176"/>
      <c r="E174" s="177"/>
      <c r="F174" s="83" t="s">
        <v>100</v>
      </c>
      <c r="G174" s="91">
        <f aca="true" t="shared" si="221" ref="G174:M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/>
      <c r="M174" s="46">
        <f t="shared" si="221"/>
      </c>
      <c r="N174" s="72"/>
      <c r="O174" s="48"/>
      <c r="P174" s="46">
        <f aca="true" t="shared" si="222" ref="P174:V174">IF(P173=0,"",обідл*P173/1000)</f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/>
      <c r="AE174" s="47">
        <f t="shared" si="223"/>
      </c>
      <c r="AF174" s="46">
        <f t="shared" si="223"/>
      </c>
      <c r="AG174" s="72">
        <f t="shared" si="223"/>
      </c>
      <c r="AH174" s="169"/>
      <c r="AI174" s="166"/>
      <c r="AJ174" s="167"/>
      <c r="AK174" s="156"/>
      <c r="AL174" s="157"/>
      <c r="AM174" s="318"/>
      <c r="AN174" s="316"/>
      <c r="AP174">
        <v>174</v>
      </c>
      <c r="AQ174" s="61" t="s">
        <v>349</v>
      </c>
      <c r="BA174">
        <v>3</v>
      </c>
      <c r="BD174">
        <v>23</v>
      </c>
      <c r="CG174">
        <v>183</v>
      </c>
      <c r="DE174" s="61">
        <v>150</v>
      </c>
      <c r="EP174">
        <v>0.3</v>
      </c>
    </row>
    <row r="175" spans="1:109" ht="30.75" customHeight="1">
      <c r="A175" s="170" t="s">
        <v>69</v>
      </c>
      <c r="B175" s="170"/>
      <c r="C175" s="170"/>
      <c r="D175" s="170"/>
      <c r="E175" s="171"/>
      <c r="F175" s="82" t="s">
        <v>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/>
      <c r="M175" s="28">
        <f>VLOOKUP(завтрак7,таб,71,FALSE)</f>
        <v>0</v>
      </c>
      <c r="N175" s="71"/>
      <c r="O175" s="39"/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3.6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/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8"/>
      <c r="AI175" s="166">
        <f>AK175/сред</f>
        <v>0.00312</v>
      </c>
      <c r="AJ175" s="167"/>
      <c r="AK175" s="154">
        <f>SUM(G176:AG176)</f>
        <v>0.0468</v>
      </c>
      <c r="AL175" s="155"/>
      <c r="AM175" s="317">
        <v>39</v>
      </c>
      <c r="AN175" s="315">
        <f>AK175*AM175</f>
        <v>1.8252000000000002</v>
      </c>
      <c r="AP175">
        <v>175</v>
      </c>
      <c r="AQ175" s="61" t="s">
        <v>350</v>
      </c>
      <c r="AZ175">
        <v>4.5</v>
      </c>
      <c r="BP175">
        <v>60</v>
      </c>
      <c r="DE175" s="61">
        <v>150</v>
      </c>
    </row>
    <row r="176" spans="1:141" ht="30.75" customHeight="1">
      <c r="A176" s="255"/>
      <c r="B176" s="255"/>
      <c r="C176" s="255"/>
      <c r="D176" s="255"/>
      <c r="E176" s="256"/>
      <c r="F176" s="83" t="s">
        <v>100</v>
      </c>
      <c r="G176" s="91">
        <f aca="true" t="shared" si="224" ref="G176:M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/>
      <c r="M176" s="46">
        <f t="shared" si="224"/>
      </c>
      <c r="N176" s="72"/>
      <c r="O176" s="48"/>
      <c r="P176" s="46">
        <f aca="true" t="shared" si="225" ref="P176:V176">IF(P175=0,"",обідл*P175/1000)</f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0.0468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/>
      <c r="AE176" s="47">
        <f t="shared" si="226"/>
      </c>
      <c r="AF176" s="46">
        <f t="shared" si="226"/>
      </c>
      <c r="AG176" s="72">
        <f t="shared" si="226"/>
      </c>
      <c r="AH176" s="169"/>
      <c r="AI176" s="166"/>
      <c r="AJ176" s="167"/>
      <c r="AK176" s="156"/>
      <c r="AL176" s="157"/>
      <c r="AM176" s="318"/>
      <c r="AN176" s="316"/>
      <c r="AP176">
        <v>176</v>
      </c>
      <c r="AQ176" s="61" t="s">
        <v>351</v>
      </c>
      <c r="AZ176">
        <v>2.3</v>
      </c>
      <c r="BC176">
        <v>3</v>
      </c>
      <c r="BR176">
        <v>45.9</v>
      </c>
      <c r="BV176">
        <v>8</v>
      </c>
      <c r="CI176">
        <v>21.8</v>
      </c>
      <c r="CJ176">
        <v>27.8</v>
      </c>
      <c r="CM176">
        <v>5</v>
      </c>
      <c r="DE176" s="61">
        <v>150</v>
      </c>
      <c r="EK176">
        <v>0.9</v>
      </c>
    </row>
    <row r="177" spans="1:109" ht="30.75" customHeight="1">
      <c r="A177" s="170" t="s">
        <v>125</v>
      </c>
      <c r="B177" s="170"/>
      <c r="C177" s="170"/>
      <c r="D177" s="170"/>
      <c r="E177" s="171"/>
      <c r="F177" s="82" t="s">
        <v>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/>
      <c r="M177" s="28">
        <f>VLOOKUP(завтрак7,таб,66,FALSE)</f>
        <v>0</v>
      </c>
      <c r="N177" s="71"/>
      <c r="O177" s="36"/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/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8"/>
      <c r="AI177" s="166">
        <f>AK177/сред</f>
        <v>0</v>
      </c>
      <c r="AJ177" s="167"/>
      <c r="AK177" s="154">
        <f>SUM(G178:AG178)</f>
        <v>0</v>
      </c>
      <c r="AL177" s="155"/>
      <c r="AM177" s="317">
        <f>IF(AK177=0,0,AW117)</f>
        <v>0</v>
      </c>
      <c r="AN177" s="315">
        <f>AK177*AM177</f>
        <v>0</v>
      </c>
      <c r="AP177">
        <v>177</v>
      </c>
      <c r="AQ177" s="61" t="s">
        <v>352</v>
      </c>
      <c r="AZ177">
        <v>3</v>
      </c>
      <c r="BN177">
        <v>63</v>
      </c>
      <c r="CM177">
        <v>15</v>
      </c>
      <c r="DE177" s="61">
        <v>150</v>
      </c>
    </row>
    <row r="178" spans="1:146" ht="30.75" customHeight="1">
      <c r="A178" s="170"/>
      <c r="B178" s="170"/>
      <c r="C178" s="170"/>
      <c r="D178" s="170"/>
      <c r="E178" s="171"/>
      <c r="F178" s="83" t="s">
        <v>100</v>
      </c>
      <c r="G178" s="91">
        <f aca="true" t="shared" si="227" ref="G178:M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/>
      <c r="M178" s="46">
        <f t="shared" si="227"/>
      </c>
      <c r="N178" s="72"/>
      <c r="O178" s="48"/>
      <c r="P178" s="46">
        <f aca="true" t="shared" si="228" ref="P178:V178">IF(P177=0,"",обідл*P177/1000)</f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/>
      <c r="AE178" s="47">
        <f t="shared" si="229"/>
      </c>
      <c r="AF178" s="46">
        <f t="shared" si="229"/>
      </c>
      <c r="AG178" s="72">
        <f t="shared" si="229"/>
      </c>
      <c r="AH178" s="169"/>
      <c r="AI178" s="166"/>
      <c r="AJ178" s="167"/>
      <c r="AK178" s="156"/>
      <c r="AL178" s="157"/>
      <c r="AM178" s="318"/>
      <c r="AN178" s="316"/>
      <c r="AP178">
        <v>178</v>
      </c>
      <c r="AQ178" s="61" t="s">
        <v>353</v>
      </c>
      <c r="AZ178">
        <v>3.8</v>
      </c>
      <c r="BR178">
        <v>54.3</v>
      </c>
      <c r="DE178" s="61">
        <v>150</v>
      </c>
      <c r="EP178">
        <v>0.8</v>
      </c>
    </row>
    <row r="179" spans="1:157" ht="30.75" customHeight="1">
      <c r="A179" s="160" t="s">
        <v>330</v>
      </c>
      <c r="B179" s="161"/>
      <c r="C179" s="161"/>
      <c r="D179" s="161"/>
      <c r="E179" s="162"/>
      <c r="F179" s="85" t="s">
        <v>99</v>
      </c>
      <c r="G179" s="90">
        <f>VLOOKUP(завтрак1,таб,79,FALSE)</f>
        <v>0</v>
      </c>
      <c r="H179" s="28">
        <v>21.6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/>
      <c r="M179" s="28">
        <f>VLOOKUP(завтрак7,таб,79,FALSE)</f>
        <v>0</v>
      </c>
      <c r="N179" s="71"/>
      <c r="O179" s="36"/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/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8"/>
      <c r="AI179" s="166">
        <f>AK179/сред</f>
        <v>0.02304</v>
      </c>
      <c r="AJ179" s="167"/>
      <c r="AK179" s="154">
        <f>SUM(G180:AG180)</f>
        <v>0.3456</v>
      </c>
      <c r="AL179" s="155"/>
      <c r="AM179" s="317">
        <v>70</v>
      </c>
      <c r="AN179" s="315">
        <f>AK179*AM179</f>
        <v>24.192</v>
      </c>
      <c r="AP179">
        <v>179</v>
      </c>
      <c r="AQ179" s="61" t="s">
        <v>354</v>
      </c>
      <c r="BC179">
        <v>4.5</v>
      </c>
      <c r="DE179" s="61">
        <v>150</v>
      </c>
      <c r="FA179">
        <v>60</v>
      </c>
    </row>
    <row r="180" spans="1:158" ht="30.75" customHeight="1">
      <c r="A180" s="163"/>
      <c r="B180" s="164"/>
      <c r="C180" s="164"/>
      <c r="D180" s="164"/>
      <c r="E180" s="165"/>
      <c r="F180" s="86" t="s">
        <v>100</v>
      </c>
      <c r="G180" s="91">
        <f aca="true" t="shared" si="230" ref="G180:M180">IF(G179=0,"",завтракл*G179/1000)</f>
      </c>
      <c r="H180" s="45">
        <f t="shared" si="230"/>
        <v>0.3456</v>
      </c>
      <c r="I180" s="45">
        <f t="shared" si="230"/>
      </c>
      <c r="J180" s="45">
        <f t="shared" si="230"/>
      </c>
      <c r="K180" s="45">
        <f t="shared" si="230"/>
      </c>
      <c r="L180" s="45"/>
      <c r="M180" s="45">
        <f t="shared" si="230"/>
      </c>
      <c r="N180" s="72"/>
      <c r="O180" s="48"/>
      <c r="P180" s="46">
        <f aca="true" t="shared" si="231" ref="P180:V180">IF(P179=0,"",обідл*P179/1000)</f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/>
      <c r="AE180" s="46">
        <f t="shared" si="232"/>
      </c>
      <c r="AF180" s="46">
        <f t="shared" si="232"/>
      </c>
      <c r="AG180" s="72">
        <f t="shared" si="232"/>
      </c>
      <c r="AH180" s="169"/>
      <c r="AI180" s="166"/>
      <c r="AJ180" s="167"/>
      <c r="AK180" s="156"/>
      <c r="AL180" s="157"/>
      <c r="AM180" s="318"/>
      <c r="AN180" s="316"/>
      <c r="AP180">
        <v>180</v>
      </c>
      <c r="AQ180" s="61" t="s">
        <v>355</v>
      </c>
      <c r="AZ180">
        <v>3.8</v>
      </c>
      <c r="BN180">
        <v>71</v>
      </c>
      <c r="DE180" s="61">
        <v>150</v>
      </c>
      <c r="FB180">
        <v>0.3</v>
      </c>
    </row>
    <row r="181" spans="1:159" ht="30.75" customHeight="1">
      <c r="A181" s="266" t="s">
        <v>138</v>
      </c>
      <c r="B181" s="266"/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158" t="s">
        <v>106</v>
      </c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60" t="s">
        <v>116</v>
      </c>
      <c r="AI181" s="60"/>
      <c r="AJ181" s="60"/>
      <c r="AK181" s="60"/>
      <c r="AL181" s="60"/>
      <c r="AM181" s="319">
        <f>SUM(AN25:AN178)</f>
        <v>1113.1902000000002</v>
      </c>
      <c r="AN181" s="319"/>
      <c r="AP181">
        <v>181</v>
      </c>
      <c r="AQ181" s="61" t="s">
        <v>357</v>
      </c>
      <c r="BC181">
        <v>4.5</v>
      </c>
      <c r="CJ181">
        <v>20.3</v>
      </c>
      <c r="CL181">
        <v>9</v>
      </c>
      <c r="CO181">
        <v>20.3</v>
      </c>
      <c r="DE181" s="61">
        <v>150</v>
      </c>
      <c r="ER181">
        <v>0.3</v>
      </c>
      <c r="FC181">
        <v>60</v>
      </c>
    </row>
    <row r="182" spans="1:142" ht="19.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182</v>
      </c>
      <c r="AQ182" s="61" t="s">
        <v>359</v>
      </c>
      <c r="AZ182">
        <v>3.8</v>
      </c>
      <c r="CG182">
        <v>195</v>
      </c>
      <c r="DE182" s="61">
        <v>150</v>
      </c>
      <c r="EL182">
        <v>3.8</v>
      </c>
    </row>
    <row r="183" spans="1:160" ht="19.5" customHeight="1">
      <c r="A183" s="257" t="s">
        <v>107</v>
      </c>
      <c r="B183" s="258"/>
      <c r="C183" s="258"/>
      <c r="D183" s="259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183</v>
      </c>
      <c r="AQ183" s="61" t="s">
        <v>360</v>
      </c>
      <c r="AZ183">
        <v>3.8</v>
      </c>
      <c r="BR183">
        <v>53.6</v>
      </c>
      <c r="DE183" s="61">
        <v>150</v>
      </c>
      <c r="FD183">
        <v>0.8</v>
      </c>
    </row>
    <row r="184" spans="1:159" ht="19.5" customHeight="1">
      <c r="A184" s="260"/>
      <c r="B184" s="261"/>
      <c r="C184" s="261"/>
      <c r="D184" s="262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184</v>
      </c>
      <c r="AQ184" s="61" t="s">
        <v>362</v>
      </c>
      <c r="AZ184">
        <v>3.8</v>
      </c>
      <c r="DE184" s="61">
        <v>150</v>
      </c>
      <c r="ER184">
        <v>0.3</v>
      </c>
      <c r="FC184">
        <v>73.5</v>
      </c>
    </row>
    <row r="185" spans="1:121" ht="19.5" customHeight="1">
      <c r="A185" s="260"/>
      <c r="B185" s="261"/>
      <c r="C185" s="261"/>
      <c r="D185" s="262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185</v>
      </c>
      <c r="AQ185" s="61" t="s">
        <v>363</v>
      </c>
      <c r="AZ185">
        <v>6</v>
      </c>
      <c r="DE185" s="61">
        <v>150</v>
      </c>
      <c r="DQ185">
        <v>75</v>
      </c>
    </row>
    <row r="186" spans="1:121" ht="19.5" customHeight="1">
      <c r="A186" s="260"/>
      <c r="B186" s="261"/>
      <c r="C186" s="261"/>
      <c r="D186" s="262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186</v>
      </c>
      <c r="AQ186" s="61" t="s">
        <v>364</v>
      </c>
      <c r="AZ186">
        <v>6</v>
      </c>
      <c r="DE186" s="61">
        <v>150</v>
      </c>
      <c r="DQ186">
        <v>67.5</v>
      </c>
    </row>
    <row r="187" spans="1:121" ht="19.5" customHeight="1">
      <c r="A187" s="260"/>
      <c r="B187" s="261"/>
      <c r="C187" s="261"/>
      <c r="D187" s="262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187</v>
      </c>
      <c r="AQ187" s="61" t="s">
        <v>365</v>
      </c>
      <c r="BC187">
        <v>4.5</v>
      </c>
      <c r="CI187">
        <v>27.5</v>
      </c>
      <c r="CJ187">
        <v>30</v>
      </c>
      <c r="DE187" s="61">
        <v>250</v>
      </c>
      <c r="DQ187">
        <v>125</v>
      </c>
    </row>
    <row r="188" spans="1:117" ht="19.5" customHeight="1">
      <c r="A188" s="260"/>
      <c r="B188" s="261"/>
      <c r="C188" s="261"/>
      <c r="D188" s="262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188</v>
      </c>
      <c r="AQ188" s="61" t="s">
        <v>366</v>
      </c>
      <c r="AZ188">
        <v>4.5</v>
      </c>
      <c r="BU188">
        <v>45</v>
      </c>
      <c r="DE188" s="61">
        <v>150</v>
      </c>
      <c r="DM188">
        <v>3.8</v>
      </c>
    </row>
    <row r="189" spans="1:161" ht="19.5" customHeight="1">
      <c r="A189" s="260"/>
      <c r="B189" s="261"/>
      <c r="C189" s="261"/>
      <c r="D189" s="262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189</v>
      </c>
      <c r="AQ189" s="61" t="s">
        <v>367</v>
      </c>
      <c r="BC189">
        <v>4.5</v>
      </c>
      <c r="BU189">
        <v>67.5</v>
      </c>
      <c r="DE189" s="61">
        <v>150</v>
      </c>
      <c r="FE189">
        <v>0.6</v>
      </c>
    </row>
    <row r="190" spans="1:147" ht="19.5" customHeight="1">
      <c r="A190" s="260"/>
      <c r="B190" s="261"/>
      <c r="C190" s="261"/>
      <c r="D190" s="262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190</v>
      </c>
      <c r="AQ190" s="61" t="s">
        <v>184</v>
      </c>
      <c r="AZ190">
        <v>3</v>
      </c>
      <c r="BQ190">
        <v>47.4</v>
      </c>
      <c r="CK190">
        <v>43.9</v>
      </c>
      <c r="CP190">
        <v>2.4</v>
      </c>
      <c r="DE190" s="61">
        <v>150</v>
      </c>
      <c r="EQ190">
        <v>0.3</v>
      </c>
    </row>
    <row r="191" spans="1:111" ht="19.5" customHeight="1">
      <c r="A191" s="260"/>
      <c r="B191" s="261"/>
      <c r="C191" s="261"/>
      <c r="D191" s="262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191</v>
      </c>
      <c r="AQ191" s="61" t="s">
        <v>369</v>
      </c>
      <c r="AZ191">
        <v>3</v>
      </c>
      <c r="BD191">
        <v>28.5</v>
      </c>
      <c r="BL191">
        <v>5</v>
      </c>
      <c r="CH191">
        <v>37.5</v>
      </c>
      <c r="CJ191">
        <v>80</v>
      </c>
      <c r="DE191" s="61">
        <v>150</v>
      </c>
      <c r="DG191">
        <v>45</v>
      </c>
    </row>
    <row r="192" spans="1:163" ht="19.5" customHeight="1">
      <c r="A192" s="260"/>
      <c r="B192" s="261"/>
      <c r="C192" s="261"/>
      <c r="D192" s="262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192</v>
      </c>
      <c r="AQ192" s="61" t="s">
        <v>370</v>
      </c>
      <c r="BC192">
        <v>4.8</v>
      </c>
      <c r="BD192">
        <v>38.4</v>
      </c>
      <c r="BJ192">
        <v>0.3</v>
      </c>
      <c r="BW192">
        <v>4</v>
      </c>
      <c r="DE192" s="61">
        <v>80</v>
      </c>
      <c r="FF192">
        <v>22.4</v>
      </c>
      <c r="FG192">
        <v>14.8</v>
      </c>
    </row>
    <row r="193" spans="1:164" ht="19.5" customHeight="1">
      <c r="A193" s="260"/>
      <c r="B193" s="261"/>
      <c r="C193" s="261"/>
      <c r="D193" s="262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193</v>
      </c>
      <c r="AQ193" s="61" t="s">
        <v>373</v>
      </c>
      <c r="AY193">
        <v>32</v>
      </c>
      <c r="AZ193">
        <v>6.4</v>
      </c>
      <c r="BC193">
        <v>1.2</v>
      </c>
      <c r="BJ193">
        <v>0.6</v>
      </c>
      <c r="BW193">
        <v>4</v>
      </c>
      <c r="CS193">
        <v>16</v>
      </c>
      <c r="DE193" s="61">
        <v>80</v>
      </c>
      <c r="FG193">
        <v>32.4</v>
      </c>
      <c r="FH193">
        <v>17.6</v>
      </c>
    </row>
    <row r="194" spans="1:166" ht="19.5" customHeight="1">
      <c r="A194" s="260"/>
      <c r="B194" s="261"/>
      <c r="C194" s="261"/>
      <c r="D194" s="262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194</v>
      </c>
      <c r="AQ194" s="61" t="s">
        <v>375</v>
      </c>
      <c r="AZ194">
        <v>2.4</v>
      </c>
      <c r="BC194">
        <v>3.2</v>
      </c>
      <c r="BJ194">
        <v>0.3</v>
      </c>
      <c r="BW194">
        <v>4</v>
      </c>
      <c r="CZ194">
        <v>1</v>
      </c>
      <c r="DE194" s="61">
        <v>80</v>
      </c>
      <c r="ED194">
        <v>2.4</v>
      </c>
      <c r="FF194">
        <v>4.8</v>
      </c>
      <c r="FG194">
        <v>12.8</v>
      </c>
      <c r="FI194">
        <v>9.6</v>
      </c>
      <c r="FJ194">
        <v>3.2</v>
      </c>
    </row>
    <row r="195" spans="1:165" ht="19.5" customHeight="1">
      <c r="A195" s="260"/>
      <c r="B195" s="261"/>
      <c r="C195" s="261"/>
      <c r="D195" s="262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195</v>
      </c>
      <c r="AQ195" s="61" t="s">
        <v>376</v>
      </c>
      <c r="AY195">
        <v>60</v>
      </c>
      <c r="BJ195">
        <v>0.8</v>
      </c>
      <c r="BW195">
        <v>4</v>
      </c>
      <c r="CW195">
        <v>2</v>
      </c>
      <c r="DE195" s="61">
        <v>80</v>
      </c>
      <c r="FF195">
        <v>4.4</v>
      </c>
      <c r="FG195">
        <v>13.6</v>
      </c>
      <c r="FI195">
        <v>13.6</v>
      </c>
    </row>
    <row r="196" spans="1:147" ht="19.5" customHeight="1">
      <c r="A196" s="260"/>
      <c r="B196" s="261"/>
      <c r="C196" s="261"/>
      <c r="D196" s="262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196</v>
      </c>
      <c r="AQ196" s="61" t="s">
        <v>377</v>
      </c>
      <c r="AX196">
        <v>100</v>
      </c>
      <c r="BC196">
        <v>6.8</v>
      </c>
      <c r="CG196">
        <v>180</v>
      </c>
      <c r="CI196">
        <v>21.6</v>
      </c>
      <c r="CJ196">
        <v>24.3</v>
      </c>
      <c r="CM196">
        <v>4.5</v>
      </c>
      <c r="DE196" s="61">
        <v>225</v>
      </c>
      <c r="EP196">
        <v>0.7</v>
      </c>
      <c r="EQ196">
        <v>0.2</v>
      </c>
    </row>
    <row r="197" spans="1:109" ht="19.5" customHeight="1">
      <c r="A197" s="260"/>
      <c r="B197" s="261"/>
      <c r="C197" s="261"/>
      <c r="D197" s="262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197</v>
      </c>
      <c r="AQ197" s="61" t="s">
        <v>378</v>
      </c>
      <c r="AX197">
        <v>134</v>
      </c>
      <c r="AZ197">
        <v>2.4</v>
      </c>
      <c r="BD197">
        <v>28.5</v>
      </c>
      <c r="BL197">
        <v>20.6</v>
      </c>
      <c r="CI197">
        <v>22</v>
      </c>
      <c r="DE197" s="61">
        <v>120</v>
      </c>
    </row>
    <row r="198" spans="1:109" ht="19.5" customHeight="1">
      <c r="A198" s="260"/>
      <c r="B198" s="261"/>
      <c r="C198" s="261"/>
      <c r="D198" s="262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198</v>
      </c>
      <c r="AQ198" s="61" t="s">
        <v>379</v>
      </c>
      <c r="AX198">
        <v>133.8</v>
      </c>
      <c r="BC198">
        <v>3.6</v>
      </c>
      <c r="CI198">
        <v>21.6</v>
      </c>
      <c r="CJ198">
        <v>24</v>
      </c>
      <c r="CM198">
        <v>3.6</v>
      </c>
      <c r="DE198" s="61">
        <v>120</v>
      </c>
    </row>
    <row r="199" spans="1:113" ht="19.5" customHeight="1">
      <c r="A199" s="260"/>
      <c r="B199" s="261"/>
      <c r="C199" s="261"/>
      <c r="D199" s="262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199</v>
      </c>
      <c r="AQ199" s="61" t="s">
        <v>380</v>
      </c>
      <c r="AX199">
        <v>95</v>
      </c>
      <c r="BJ199">
        <v>8</v>
      </c>
      <c r="BL199">
        <v>8.5</v>
      </c>
      <c r="DE199" s="61">
        <v>100</v>
      </c>
      <c r="DI199">
        <v>20</v>
      </c>
    </row>
    <row r="200" spans="1:109" ht="19.5" customHeight="1">
      <c r="A200" s="260"/>
      <c r="B200" s="261"/>
      <c r="C200" s="261"/>
      <c r="D200" s="262"/>
      <c r="E200" s="55"/>
      <c r="F200" s="54"/>
      <c r="G200" s="32"/>
      <c r="H200" s="37"/>
      <c r="I200" s="37"/>
      <c r="J200" s="37"/>
      <c r="K200" s="37"/>
      <c r="L200" s="37"/>
      <c r="M200" s="32"/>
      <c r="N200" s="32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17"/>
      <c r="AI200" s="17"/>
      <c r="AP200">
        <v>200</v>
      </c>
      <c r="AQ200" s="61" t="s">
        <v>381</v>
      </c>
      <c r="AX200">
        <v>100.35</v>
      </c>
      <c r="BJ200">
        <v>0.1</v>
      </c>
      <c r="BM200">
        <v>2.25</v>
      </c>
      <c r="CI200">
        <v>18</v>
      </c>
      <c r="DE200" s="61">
        <v>90</v>
      </c>
    </row>
    <row r="201" spans="1:109" ht="19.5" customHeight="1">
      <c r="A201" s="260"/>
      <c r="B201" s="261"/>
      <c r="C201" s="261"/>
      <c r="D201" s="262"/>
      <c r="E201" s="55"/>
      <c r="F201" s="5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17"/>
      <c r="AI201" s="17"/>
      <c r="AP201">
        <v>201</v>
      </c>
      <c r="AQ201" s="61" t="s">
        <v>382</v>
      </c>
      <c r="AX201">
        <v>100.4</v>
      </c>
      <c r="AZ201">
        <v>2.4</v>
      </c>
      <c r="BC201">
        <v>1.8</v>
      </c>
      <c r="BD201">
        <v>28</v>
      </c>
      <c r="BL201">
        <v>20.6</v>
      </c>
      <c r="CI201">
        <v>10.8</v>
      </c>
      <c r="CJ201">
        <v>12.2</v>
      </c>
      <c r="DE201" s="61">
        <v>90</v>
      </c>
    </row>
    <row r="202" spans="1:113" ht="19.5" customHeight="1">
      <c r="A202" s="260"/>
      <c r="B202" s="261"/>
      <c r="C202" s="261"/>
      <c r="D202" s="262"/>
      <c r="E202" s="55"/>
      <c r="F202" s="54"/>
      <c r="G202" s="32"/>
      <c r="H202" s="37"/>
      <c r="I202" s="37"/>
      <c r="J202" s="37"/>
      <c r="K202" s="37"/>
      <c r="L202" s="37"/>
      <c r="M202" s="32"/>
      <c r="N202" s="32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17"/>
      <c r="AI202" s="17"/>
      <c r="AP202">
        <v>202</v>
      </c>
      <c r="AQ202" s="61" t="s">
        <v>383</v>
      </c>
      <c r="AX202">
        <v>99.8</v>
      </c>
      <c r="BC202">
        <v>2.1</v>
      </c>
      <c r="BJ202">
        <v>0.1</v>
      </c>
      <c r="BL202">
        <v>8.4</v>
      </c>
      <c r="CQ202">
        <v>26.3</v>
      </c>
      <c r="DE202" s="61">
        <v>105</v>
      </c>
      <c r="DI202">
        <v>12.6</v>
      </c>
    </row>
    <row r="203" spans="1:109" ht="19.5" customHeight="1">
      <c r="A203" s="260"/>
      <c r="B203" s="261"/>
      <c r="C203" s="261"/>
      <c r="D203" s="262"/>
      <c r="E203" s="55"/>
      <c r="F203" s="5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17"/>
      <c r="AI203" s="17"/>
      <c r="AP203">
        <v>203</v>
      </c>
      <c r="AQ203" s="61" t="s">
        <v>384</v>
      </c>
      <c r="AT203">
        <v>105.8</v>
      </c>
      <c r="BC203">
        <v>4.5</v>
      </c>
      <c r="BL203">
        <v>1.5</v>
      </c>
      <c r="CI203">
        <v>72</v>
      </c>
      <c r="CM203">
        <v>12</v>
      </c>
      <c r="DE203" s="61">
        <v>150</v>
      </c>
    </row>
    <row r="204" spans="1:109" ht="19.5" customHeight="1">
      <c r="A204" s="260"/>
      <c r="B204" s="261"/>
      <c r="C204" s="261"/>
      <c r="D204" s="262"/>
      <c r="E204" s="55"/>
      <c r="F204" s="54"/>
      <c r="G204" s="32"/>
      <c r="H204" s="37"/>
      <c r="I204" s="37"/>
      <c r="J204" s="37"/>
      <c r="K204" s="37"/>
      <c r="L204" s="37"/>
      <c r="M204" s="32"/>
      <c r="N204" s="32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17"/>
      <c r="AI204" s="17"/>
      <c r="AP204">
        <v>204</v>
      </c>
      <c r="AQ204" s="61" t="s">
        <v>385</v>
      </c>
      <c r="AX204">
        <v>122.4</v>
      </c>
      <c r="BJ204">
        <v>0.1</v>
      </c>
      <c r="CI204">
        <v>21.4</v>
      </c>
      <c r="DE204" s="61">
        <v>90</v>
      </c>
    </row>
    <row r="205" spans="1:109" ht="19.5" customHeight="1">
      <c r="A205" s="260"/>
      <c r="B205" s="261"/>
      <c r="C205" s="261"/>
      <c r="D205" s="262"/>
      <c r="E205" s="55"/>
      <c r="F205" s="5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17"/>
      <c r="AI205" s="17"/>
      <c r="AP205">
        <v>205</v>
      </c>
      <c r="AQ205" s="61" t="s">
        <v>386</v>
      </c>
      <c r="AR205" s="61"/>
      <c r="AT205">
        <v>105.8</v>
      </c>
      <c r="BC205">
        <v>4.5</v>
      </c>
      <c r="BM205">
        <v>6</v>
      </c>
      <c r="BW205">
        <v>3</v>
      </c>
      <c r="CI205">
        <v>18</v>
      </c>
      <c r="CO205">
        <v>75</v>
      </c>
      <c r="DE205" s="61">
        <v>150</v>
      </c>
    </row>
    <row r="206" spans="1:109" ht="19.5" customHeight="1">
      <c r="A206" s="260"/>
      <c r="B206" s="261"/>
      <c r="C206" s="261"/>
      <c r="D206" s="262"/>
      <c r="E206" s="55"/>
      <c r="F206" s="54"/>
      <c r="G206" s="32"/>
      <c r="H206" s="37"/>
      <c r="I206" s="37"/>
      <c r="J206" s="37"/>
      <c r="K206" s="37"/>
      <c r="L206" s="37"/>
      <c r="M206" s="32"/>
      <c r="N206" s="32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17"/>
      <c r="AI206" s="17"/>
      <c r="AP206">
        <v>206</v>
      </c>
      <c r="AQ206" s="61" t="s">
        <v>387</v>
      </c>
      <c r="AT206">
        <v>144.5</v>
      </c>
      <c r="BC206">
        <v>1.3</v>
      </c>
      <c r="BM206">
        <v>2.1</v>
      </c>
      <c r="BW206">
        <v>2.1</v>
      </c>
      <c r="CP206">
        <v>1.7</v>
      </c>
      <c r="DE206" s="61">
        <v>85</v>
      </c>
    </row>
    <row r="207" spans="1:146" ht="19.5" customHeight="1">
      <c r="A207" s="260"/>
      <c r="B207" s="261"/>
      <c r="C207" s="261"/>
      <c r="D207" s="262"/>
      <c r="E207" s="55"/>
      <c r="F207" s="5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17"/>
      <c r="AI207" s="17"/>
      <c r="AP207">
        <v>207</v>
      </c>
      <c r="AQ207" s="61" t="s">
        <v>388</v>
      </c>
      <c r="AT207">
        <v>130.5</v>
      </c>
      <c r="BC207">
        <v>2.7</v>
      </c>
      <c r="DE207" s="61">
        <v>90</v>
      </c>
      <c r="EP207">
        <v>0.23</v>
      </c>
    </row>
    <row r="208" spans="1:129" ht="19.5" customHeight="1">
      <c r="A208" s="260"/>
      <c r="B208" s="261"/>
      <c r="C208" s="261"/>
      <c r="D208" s="262"/>
      <c r="E208" s="55"/>
      <c r="F208" s="54"/>
      <c r="G208" s="32"/>
      <c r="H208" s="37"/>
      <c r="I208" s="37"/>
      <c r="J208" s="37"/>
      <c r="K208" s="37"/>
      <c r="L208" s="37"/>
      <c r="M208" s="32"/>
      <c r="N208" s="32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17"/>
      <c r="AI208" s="17"/>
      <c r="AP208">
        <v>208</v>
      </c>
      <c r="AQ208" s="61" t="s">
        <v>203</v>
      </c>
      <c r="AT208">
        <v>103.5</v>
      </c>
      <c r="BC208">
        <v>1.4</v>
      </c>
      <c r="BD208">
        <v>5</v>
      </c>
      <c r="BJ208">
        <v>0.2</v>
      </c>
      <c r="BL208">
        <v>5.2</v>
      </c>
      <c r="DE208" s="61">
        <v>100</v>
      </c>
      <c r="DH208">
        <v>1</v>
      </c>
      <c r="DI208">
        <v>15</v>
      </c>
      <c r="DY208">
        <v>0.1</v>
      </c>
    </row>
    <row r="209" spans="1:146" ht="19.5" customHeight="1">
      <c r="A209" s="260"/>
      <c r="B209" s="261"/>
      <c r="C209" s="261"/>
      <c r="D209" s="262"/>
      <c r="E209" s="55"/>
      <c r="F209" s="5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17"/>
      <c r="AI209" s="17"/>
      <c r="AP209">
        <v>209</v>
      </c>
      <c r="AQ209" s="61" t="s">
        <v>200</v>
      </c>
      <c r="AT209">
        <v>105.4</v>
      </c>
      <c r="BC209">
        <v>4.5</v>
      </c>
      <c r="CI209">
        <v>6.8</v>
      </c>
      <c r="CM209">
        <v>8.5</v>
      </c>
      <c r="DE209" s="61">
        <v>85</v>
      </c>
      <c r="DX209">
        <v>0.9</v>
      </c>
      <c r="EP209">
        <v>0.3</v>
      </c>
    </row>
    <row r="210" spans="1:113" ht="19.5" customHeight="1">
      <c r="A210" s="260"/>
      <c r="B210" s="261"/>
      <c r="C210" s="261"/>
      <c r="D210" s="262"/>
      <c r="E210" s="55"/>
      <c r="F210" s="54"/>
      <c r="G210" s="32"/>
      <c r="H210" s="37"/>
      <c r="I210" s="37"/>
      <c r="J210" s="37"/>
      <c r="K210" s="37"/>
      <c r="L210" s="37"/>
      <c r="M210" s="32"/>
      <c r="N210" s="32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17"/>
      <c r="AI210" s="17"/>
      <c r="AP210">
        <v>210</v>
      </c>
      <c r="AQ210" s="61" t="s">
        <v>389</v>
      </c>
      <c r="AT210">
        <v>103</v>
      </c>
      <c r="BC210">
        <v>1.9</v>
      </c>
      <c r="BD210">
        <v>10</v>
      </c>
      <c r="BJ210">
        <v>0.5</v>
      </c>
      <c r="BL210">
        <v>12.5</v>
      </c>
      <c r="CQ210">
        <v>12.5</v>
      </c>
      <c r="DE210" s="61">
        <v>125</v>
      </c>
      <c r="DI210">
        <v>12.5</v>
      </c>
    </row>
    <row r="211" spans="1:113" ht="19.5" customHeight="1">
      <c r="A211" s="260"/>
      <c r="B211" s="261"/>
      <c r="C211" s="261"/>
      <c r="D211" s="262"/>
      <c r="E211" s="55"/>
      <c r="F211" s="5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17"/>
      <c r="AI211" s="17"/>
      <c r="AP211">
        <v>211</v>
      </c>
      <c r="AQ211" s="61" t="s">
        <v>390</v>
      </c>
      <c r="AT211">
        <v>103</v>
      </c>
      <c r="BC211">
        <v>1.9</v>
      </c>
      <c r="BD211">
        <v>10</v>
      </c>
      <c r="BI211">
        <v>13.8</v>
      </c>
      <c r="BJ211">
        <v>0.3</v>
      </c>
      <c r="BL211">
        <v>11.5</v>
      </c>
      <c r="DE211" s="61">
        <v>125</v>
      </c>
      <c r="DI211">
        <v>25</v>
      </c>
    </row>
    <row r="212" spans="1:150" ht="19.5" customHeight="1">
      <c r="A212" s="260"/>
      <c r="B212" s="261"/>
      <c r="C212" s="261"/>
      <c r="D212" s="262"/>
      <c r="E212" s="55"/>
      <c r="F212" s="54"/>
      <c r="G212" s="32"/>
      <c r="H212" s="37"/>
      <c r="I212" s="37"/>
      <c r="J212" s="37"/>
      <c r="K212" s="37"/>
      <c r="L212" s="37"/>
      <c r="M212" s="32"/>
      <c r="N212" s="32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17"/>
      <c r="AI212" s="17"/>
      <c r="AP212">
        <v>212</v>
      </c>
      <c r="AQ212" s="61" t="s">
        <v>391</v>
      </c>
      <c r="AT212">
        <v>126</v>
      </c>
      <c r="BC212">
        <v>9.3</v>
      </c>
      <c r="CI212">
        <v>19</v>
      </c>
      <c r="DE212" s="61">
        <v>250</v>
      </c>
      <c r="DQ212">
        <v>150</v>
      </c>
      <c r="ET212">
        <v>59.4</v>
      </c>
    </row>
    <row r="213" spans="1:109" ht="19.5" customHeight="1">
      <c r="A213" s="263"/>
      <c r="B213" s="264"/>
      <c r="C213" s="264"/>
      <c r="D213" s="265"/>
      <c r="E213" s="55"/>
      <c r="F213" s="5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17"/>
      <c r="AI213" s="17"/>
      <c r="AP213">
        <v>213</v>
      </c>
      <c r="AQ213" s="61" t="s">
        <v>392</v>
      </c>
      <c r="AT213">
        <v>101.3</v>
      </c>
      <c r="BC213">
        <v>7.5</v>
      </c>
      <c r="BR213">
        <v>55</v>
      </c>
      <c r="CI213">
        <v>13.8</v>
      </c>
      <c r="CJ213">
        <v>17.5</v>
      </c>
      <c r="CM213">
        <v>8.8</v>
      </c>
      <c r="DE213" s="61">
        <v>250</v>
      </c>
    </row>
    <row r="214" spans="1:152" ht="19.5" customHeight="1">
      <c r="A214" s="55"/>
      <c r="B214" s="55"/>
      <c r="C214" s="55"/>
      <c r="D214" s="55"/>
      <c r="E214" s="55"/>
      <c r="F214" s="54"/>
      <c r="G214" s="32"/>
      <c r="H214" s="37"/>
      <c r="I214" s="37"/>
      <c r="J214" s="37"/>
      <c r="K214" s="37"/>
      <c r="L214" s="37"/>
      <c r="M214" s="32"/>
      <c r="N214" s="32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17"/>
      <c r="AI214" s="17"/>
      <c r="AP214">
        <v>214</v>
      </c>
      <c r="AQ214" s="61" t="s">
        <v>393</v>
      </c>
      <c r="AT214">
        <v>101.3</v>
      </c>
      <c r="BC214">
        <v>7.5</v>
      </c>
      <c r="BQ214">
        <v>55</v>
      </c>
      <c r="CI214">
        <v>21.3</v>
      </c>
      <c r="CJ214">
        <v>23.8</v>
      </c>
      <c r="CM214">
        <v>12.5</v>
      </c>
      <c r="DE214" s="61">
        <v>250</v>
      </c>
      <c r="EK214">
        <v>0.9</v>
      </c>
      <c r="EN214">
        <v>1.5</v>
      </c>
      <c r="EV214">
        <v>0.9</v>
      </c>
    </row>
    <row r="215" spans="1:109" ht="19.5" customHeight="1">
      <c r="A215" s="55"/>
      <c r="B215" s="55"/>
      <c r="C215" s="55"/>
      <c r="D215" s="55"/>
      <c r="E215" s="55"/>
      <c r="F215" s="54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17"/>
      <c r="AI215" s="17"/>
      <c r="AP215">
        <v>215</v>
      </c>
      <c r="AQ215" s="61" t="s">
        <v>394</v>
      </c>
      <c r="AT215">
        <v>102.5</v>
      </c>
      <c r="BC215">
        <v>7.5</v>
      </c>
      <c r="BD215">
        <v>25</v>
      </c>
      <c r="CG215">
        <v>197.5</v>
      </c>
      <c r="CI215">
        <v>30</v>
      </c>
      <c r="DE215" s="61">
        <v>250</v>
      </c>
    </row>
    <row r="216" spans="1:109" ht="19.5" customHeight="1">
      <c r="A216" s="55"/>
      <c r="B216" s="55"/>
      <c r="C216" s="55"/>
      <c r="D216" s="55"/>
      <c r="E216" s="55"/>
      <c r="F216" s="54"/>
      <c r="G216" s="32"/>
      <c r="H216" s="37"/>
      <c r="I216" s="37"/>
      <c r="J216" s="37"/>
      <c r="K216" s="37"/>
      <c r="L216" s="37"/>
      <c r="M216" s="32"/>
      <c r="N216" s="32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17"/>
      <c r="AI216" s="17"/>
      <c r="AP216">
        <v>216</v>
      </c>
      <c r="AQ216" s="61" t="s">
        <v>395</v>
      </c>
      <c r="AT216">
        <v>100</v>
      </c>
      <c r="BC216">
        <v>6</v>
      </c>
      <c r="CH216">
        <v>118</v>
      </c>
      <c r="CI216">
        <v>24</v>
      </c>
      <c r="CJ216">
        <v>28</v>
      </c>
      <c r="CM216">
        <v>10</v>
      </c>
      <c r="DE216" s="61">
        <v>200</v>
      </c>
    </row>
    <row r="217" spans="1:111" ht="19.5" customHeight="1">
      <c r="A217" s="55"/>
      <c r="B217" s="55"/>
      <c r="C217" s="55"/>
      <c r="D217" s="55"/>
      <c r="E217" s="55"/>
      <c r="F217" s="54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17"/>
      <c r="AI217" s="17"/>
      <c r="AP217">
        <v>217</v>
      </c>
      <c r="AQ217" s="61" t="s">
        <v>396</v>
      </c>
      <c r="BC217">
        <v>3.4</v>
      </c>
      <c r="BJ217">
        <v>1.5</v>
      </c>
      <c r="CM217">
        <v>3.8</v>
      </c>
      <c r="DE217" s="61">
        <v>75</v>
      </c>
      <c r="DG217">
        <v>15</v>
      </c>
    </row>
    <row r="218" spans="1:109" ht="19.5" customHeight="1">
      <c r="A218" s="55"/>
      <c r="B218" s="55"/>
      <c r="C218" s="55"/>
      <c r="D218" s="55"/>
      <c r="E218" s="55"/>
      <c r="F218" s="54"/>
      <c r="G218" s="32"/>
      <c r="H218" s="37"/>
      <c r="I218" s="37"/>
      <c r="J218" s="37"/>
      <c r="K218" s="37"/>
      <c r="L218" s="37"/>
      <c r="M218" s="32"/>
      <c r="N218" s="32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17"/>
      <c r="AI218" s="17"/>
      <c r="AP218">
        <v>218</v>
      </c>
      <c r="AQ218" s="61" t="s">
        <v>397</v>
      </c>
      <c r="CD218">
        <v>200</v>
      </c>
      <c r="DE218" s="61">
        <v>200</v>
      </c>
    </row>
    <row r="219" spans="1:109" ht="19.5" customHeight="1">
      <c r="A219" s="55"/>
      <c r="B219" s="55"/>
      <c r="C219" s="55"/>
      <c r="D219" s="55"/>
      <c r="E219" s="55"/>
      <c r="F219" s="5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17"/>
      <c r="AI219" s="17"/>
      <c r="AP219">
        <v>219</v>
      </c>
      <c r="AQ219" s="61" t="s">
        <v>398</v>
      </c>
      <c r="CF219">
        <v>114</v>
      </c>
      <c r="DE219" s="61">
        <v>100</v>
      </c>
    </row>
    <row r="220" spans="1:109" ht="19.5" customHeight="1">
      <c r="A220" s="55"/>
      <c r="B220" s="55"/>
      <c r="C220" s="55"/>
      <c r="D220" s="55"/>
      <c r="E220" s="55"/>
      <c r="F220" s="54"/>
      <c r="G220" s="32"/>
      <c r="H220" s="37"/>
      <c r="I220" s="37"/>
      <c r="J220" s="37"/>
      <c r="K220" s="37"/>
      <c r="L220" s="37"/>
      <c r="M220" s="32"/>
      <c r="N220" s="32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17"/>
      <c r="AI220" s="17"/>
      <c r="AP220">
        <v>220</v>
      </c>
      <c r="AQ220" s="61" t="s">
        <v>229</v>
      </c>
      <c r="AY220">
        <v>167</v>
      </c>
      <c r="DE220" s="61">
        <v>100</v>
      </c>
    </row>
    <row r="221" spans="1:132" ht="19.5" customHeight="1">
      <c r="A221" s="246" t="s">
        <v>108</v>
      </c>
      <c r="B221" s="247"/>
      <c r="C221" s="247"/>
      <c r="D221" s="248"/>
      <c r="E221" s="55"/>
      <c r="F221" s="54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17"/>
      <c r="AI221" s="17"/>
      <c r="AP221">
        <v>221</v>
      </c>
      <c r="AQ221" s="61" t="s">
        <v>271</v>
      </c>
      <c r="DE221" s="61">
        <v>100</v>
      </c>
      <c r="EB221">
        <v>111.8</v>
      </c>
    </row>
    <row r="222" spans="1:109" ht="19.5" customHeight="1">
      <c r="A222" s="249"/>
      <c r="B222" s="250"/>
      <c r="C222" s="250"/>
      <c r="D222" s="251"/>
      <c r="E222" s="56"/>
      <c r="F222" s="54"/>
      <c r="G222" s="32"/>
      <c r="H222" s="37"/>
      <c r="I222" s="37"/>
      <c r="J222" s="37"/>
      <c r="K222" s="37"/>
      <c r="L222" s="37"/>
      <c r="M222" s="32"/>
      <c r="N222" s="32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17"/>
      <c r="AI222" s="17"/>
      <c r="AP222">
        <v>222</v>
      </c>
      <c r="AQ222" s="61" t="s">
        <v>212</v>
      </c>
      <c r="BC222">
        <v>2.4</v>
      </c>
      <c r="BG222">
        <v>2.4</v>
      </c>
      <c r="BJ222">
        <v>0.1</v>
      </c>
      <c r="BQ222">
        <v>32.8</v>
      </c>
      <c r="BW222">
        <v>4.8</v>
      </c>
      <c r="CC222">
        <v>12</v>
      </c>
      <c r="CT222">
        <v>48</v>
      </c>
      <c r="DE222" s="61">
        <v>120</v>
      </c>
    </row>
    <row r="223" spans="1:109" ht="19.5" customHeight="1">
      <c r="A223" s="249"/>
      <c r="B223" s="250"/>
      <c r="C223" s="250"/>
      <c r="D223" s="251"/>
      <c r="E223" s="56"/>
      <c r="F223" s="54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17"/>
      <c r="AI223" s="17"/>
      <c r="AP223">
        <v>223</v>
      </c>
      <c r="AQ223" s="61" t="s">
        <v>399</v>
      </c>
      <c r="BE223">
        <v>100</v>
      </c>
      <c r="BW223">
        <v>10</v>
      </c>
      <c r="DE223" s="61">
        <v>100</v>
      </c>
    </row>
    <row r="224" spans="1:109" ht="19.5" customHeight="1">
      <c r="A224" s="249"/>
      <c r="B224" s="250"/>
      <c r="C224" s="250"/>
      <c r="D224" s="251"/>
      <c r="E224" s="55"/>
      <c r="F224" s="54"/>
      <c r="G224" s="32"/>
      <c r="H224" s="37"/>
      <c r="I224" s="37"/>
      <c r="J224" s="37"/>
      <c r="K224" s="37"/>
      <c r="L224" s="37"/>
      <c r="M224" s="32"/>
      <c r="N224" s="32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17"/>
      <c r="AI224" s="17"/>
      <c r="AP224">
        <v>224</v>
      </c>
      <c r="AQ224" s="61" t="s">
        <v>400</v>
      </c>
      <c r="BD224">
        <v>80</v>
      </c>
      <c r="BJ224">
        <v>0.1</v>
      </c>
      <c r="BW224">
        <v>6</v>
      </c>
      <c r="CQ224">
        <v>24</v>
      </c>
      <c r="DB224">
        <v>0.5</v>
      </c>
      <c r="DE224" s="61">
        <v>120</v>
      </c>
    </row>
    <row r="225" spans="1:109" ht="19.5" customHeight="1">
      <c r="A225" s="249"/>
      <c r="B225" s="250"/>
      <c r="C225" s="250"/>
      <c r="D225" s="251"/>
      <c r="E225" s="55"/>
      <c r="F225" s="54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17"/>
      <c r="AI225" s="17"/>
      <c r="AP225">
        <v>225</v>
      </c>
      <c r="AQ225" s="61" t="s">
        <v>197</v>
      </c>
      <c r="AZ225">
        <v>0.9</v>
      </c>
      <c r="BD225">
        <v>48</v>
      </c>
      <c r="BI225">
        <v>12</v>
      </c>
      <c r="BL225">
        <v>2.7</v>
      </c>
      <c r="BS225">
        <v>22.2</v>
      </c>
      <c r="DE225" s="61">
        <v>120</v>
      </c>
    </row>
    <row r="226" spans="1:109" ht="19.5" customHeight="1">
      <c r="A226" s="249"/>
      <c r="B226" s="250"/>
      <c r="C226" s="250"/>
      <c r="D226" s="251"/>
      <c r="E226" s="57"/>
      <c r="F226" s="54"/>
      <c r="G226" s="32"/>
      <c r="H226" s="37"/>
      <c r="I226" s="37"/>
      <c r="J226" s="37"/>
      <c r="K226" s="37"/>
      <c r="L226" s="37"/>
      <c r="M226" s="32"/>
      <c r="N226" s="32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17"/>
      <c r="AI226" s="17"/>
      <c r="AP226">
        <v>226</v>
      </c>
      <c r="AQ226" s="61" t="s">
        <v>401</v>
      </c>
      <c r="AY226">
        <v>19.2</v>
      </c>
      <c r="AZ226">
        <v>2.4</v>
      </c>
      <c r="BC226">
        <v>1.2</v>
      </c>
      <c r="BF226">
        <v>84</v>
      </c>
      <c r="BL226">
        <v>5.4</v>
      </c>
      <c r="BO226">
        <v>24</v>
      </c>
      <c r="BW226">
        <v>6</v>
      </c>
      <c r="DD226">
        <v>0.6</v>
      </c>
      <c r="DE226" s="61">
        <v>120</v>
      </c>
    </row>
    <row r="227" spans="1:109" ht="19.5" customHeight="1">
      <c r="A227" s="249"/>
      <c r="B227" s="250"/>
      <c r="C227" s="250"/>
      <c r="D227" s="251"/>
      <c r="E227" s="57"/>
      <c r="F227" s="54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17"/>
      <c r="AI227" s="17"/>
      <c r="AP227">
        <v>227</v>
      </c>
      <c r="AQ227" s="61" t="s">
        <v>402</v>
      </c>
      <c r="BD227">
        <v>102</v>
      </c>
      <c r="BM227">
        <v>12</v>
      </c>
      <c r="BW227">
        <v>6</v>
      </c>
      <c r="DB227">
        <v>0.5</v>
      </c>
      <c r="DE227" s="61">
        <v>120</v>
      </c>
    </row>
    <row r="228" spans="1:109" ht="19.5" customHeight="1">
      <c r="A228" s="249"/>
      <c r="B228" s="250"/>
      <c r="C228" s="250"/>
      <c r="D228" s="251"/>
      <c r="E228" s="55"/>
      <c r="F228" s="54"/>
      <c r="G228" s="32"/>
      <c r="H228" s="37"/>
      <c r="I228" s="37"/>
      <c r="J228" s="37"/>
      <c r="K228" s="37"/>
      <c r="L228" s="37"/>
      <c r="M228" s="32"/>
      <c r="N228" s="32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17"/>
      <c r="AI228" s="17"/>
      <c r="AP228">
        <v>228</v>
      </c>
      <c r="AQ228" s="61" t="s">
        <v>403</v>
      </c>
      <c r="BC228">
        <v>7.2</v>
      </c>
      <c r="BG228">
        <v>18</v>
      </c>
      <c r="BJ228">
        <v>0.1</v>
      </c>
      <c r="BL228">
        <v>32.4</v>
      </c>
      <c r="BW228">
        <v>6</v>
      </c>
      <c r="CV228">
        <v>12</v>
      </c>
      <c r="DD228">
        <v>0.6</v>
      </c>
      <c r="DE228" s="61">
        <v>120</v>
      </c>
    </row>
    <row r="229" spans="1:109" ht="19.5" customHeight="1">
      <c r="A229" s="249"/>
      <c r="B229" s="250"/>
      <c r="C229" s="250"/>
      <c r="D229" s="251"/>
      <c r="E229" s="55"/>
      <c r="F229" s="54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17"/>
      <c r="AI229" s="17"/>
      <c r="AP229">
        <v>229</v>
      </c>
      <c r="AQ229" s="61" t="s">
        <v>222</v>
      </c>
      <c r="BC229">
        <v>7.2</v>
      </c>
      <c r="BJ229">
        <v>0.1</v>
      </c>
      <c r="BL229">
        <v>37.5</v>
      </c>
      <c r="CO229">
        <v>101</v>
      </c>
      <c r="DD229">
        <v>1.7</v>
      </c>
      <c r="DE229" s="61">
        <v>120</v>
      </c>
    </row>
    <row r="230" spans="1:109" ht="19.5" customHeight="1">
      <c r="A230" s="249"/>
      <c r="B230" s="250"/>
      <c r="C230" s="250"/>
      <c r="D230" s="251"/>
      <c r="E230" s="55"/>
      <c r="F230" s="54"/>
      <c r="G230" s="32"/>
      <c r="H230" s="37"/>
      <c r="I230" s="37"/>
      <c r="J230" s="37"/>
      <c r="K230" s="37"/>
      <c r="L230" s="37"/>
      <c r="M230" s="32"/>
      <c r="N230" s="32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17"/>
      <c r="AI230" s="17"/>
      <c r="AP230">
        <v>230</v>
      </c>
      <c r="AQ230" s="61" t="s">
        <v>404</v>
      </c>
      <c r="BG230">
        <v>122</v>
      </c>
      <c r="BH230">
        <v>48</v>
      </c>
      <c r="BJ230">
        <v>0.1</v>
      </c>
      <c r="BM230">
        <v>1.2</v>
      </c>
      <c r="BW230">
        <v>6</v>
      </c>
      <c r="CF230">
        <v>96</v>
      </c>
      <c r="DE230" s="61">
        <v>120</v>
      </c>
    </row>
    <row r="231" spans="1:135" ht="19.5" customHeight="1">
      <c r="A231" s="249"/>
      <c r="B231" s="250"/>
      <c r="C231" s="250"/>
      <c r="D231" s="251"/>
      <c r="E231" s="55"/>
      <c r="F231" s="54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17"/>
      <c r="AI231" s="17"/>
      <c r="AP231">
        <v>231</v>
      </c>
      <c r="AQ231" s="61" t="s">
        <v>405</v>
      </c>
      <c r="BB231">
        <v>4</v>
      </c>
      <c r="BW231">
        <v>6</v>
      </c>
      <c r="CF231">
        <v>80</v>
      </c>
      <c r="DE231" s="61">
        <v>120</v>
      </c>
      <c r="EE231">
        <v>10.9</v>
      </c>
    </row>
    <row r="232" spans="1:165" ht="19.5" customHeight="1">
      <c r="A232" s="249"/>
      <c r="B232" s="250"/>
      <c r="C232" s="250"/>
      <c r="D232" s="251"/>
      <c r="E232" s="55"/>
      <c r="F232" s="54"/>
      <c r="G232" s="32"/>
      <c r="H232" s="37"/>
      <c r="I232" s="37"/>
      <c r="J232" s="37"/>
      <c r="K232" s="37"/>
      <c r="L232" s="37"/>
      <c r="M232" s="32"/>
      <c r="N232" s="32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17"/>
      <c r="AI232" s="17"/>
      <c r="AP232">
        <v>232</v>
      </c>
      <c r="AQ232" s="61" t="s">
        <v>406</v>
      </c>
      <c r="BA232">
        <v>1.9</v>
      </c>
      <c r="BC232">
        <v>48</v>
      </c>
      <c r="BL232">
        <v>107</v>
      </c>
      <c r="DE232" s="61">
        <v>80</v>
      </c>
      <c r="FI232">
        <v>10</v>
      </c>
    </row>
    <row r="233" spans="1:112" ht="19.5" customHeight="1">
      <c r="A233" s="249"/>
      <c r="B233" s="250"/>
      <c r="C233" s="250"/>
      <c r="D233" s="251"/>
      <c r="E233" s="55"/>
      <c r="F233" s="54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17"/>
      <c r="AI233" s="17"/>
      <c r="AP233">
        <v>233</v>
      </c>
      <c r="AQ233" s="61" t="s">
        <v>408</v>
      </c>
      <c r="BC233">
        <v>9.6</v>
      </c>
      <c r="BD233">
        <v>9.6</v>
      </c>
      <c r="BJ233">
        <v>0.2</v>
      </c>
      <c r="BL233">
        <v>48</v>
      </c>
      <c r="BW233">
        <v>4</v>
      </c>
      <c r="DB233">
        <v>0.1</v>
      </c>
      <c r="DD233">
        <v>1.2</v>
      </c>
      <c r="DE233" s="61">
        <v>80</v>
      </c>
      <c r="DH233">
        <v>1.6</v>
      </c>
    </row>
    <row r="234" spans="1:109" ht="19.5" customHeight="1">
      <c r="A234" s="249"/>
      <c r="B234" s="250"/>
      <c r="C234" s="250"/>
      <c r="D234" s="251"/>
      <c r="E234" s="55"/>
      <c r="F234" s="54"/>
      <c r="G234" s="32"/>
      <c r="H234" s="37"/>
      <c r="I234" s="37"/>
      <c r="J234" s="37"/>
      <c r="K234" s="37"/>
      <c r="L234" s="37"/>
      <c r="M234" s="32"/>
      <c r="N234" s="32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17"/>
      <c r="AI234" s="17"/>
      <c r="AP234">
        <v>234</v>
      </c>
      <c r="AQ234" s="61" t="s">
        <v>409</v>
      </c>
      <c r="BH234">
        <v>100.4</v>
      </c>
      <c r="BJ234">
        <v>0.1</v>
      </c>
      <c r="BL234">
        <v>13.8</v>
      </c>
      <c r="BW234">
        <v>6</v>
      </c>
      <c r="DE234" s="61">
        <v>120</v>
      </c>
    </row>
    <row r="235" spans="1:166" ht="19.5" customHeight="1">
      <c r="A235" s="249"/>
      <c r="B235" s="250"/>
      <c r="C235" s="250"/>
      <c r="D235" s="251"/>
      <c r="E235" s="55"/>
      <c r="F235" s="54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17"/>
      <c r="AI235" s="17"/>
      <c r="AP235">
        <v>235</v>
      </c>
      <c r="AQ235" s="61" t="s">
        <v>410</v>
      </c>
      <c r="AZ235">
        <v>2.6</v>
      </c>
      <c r="BC235">
        <v>12.8</v>
      </c>
      <c r="BJ235">
        <v>0.2</v>
      </c>
      <c r="BL235">
        <v>20.4</v>
      </c>
      <c r="DD235">
        <v>0.2</v>
      </c>
      <c r="DE235" s="61">
        <v>80</v>
      </c>
      <c r="FJ235">
        <v>29.6</v>
      </c>
    </row>
    <row r="236" spans="1:165" ht="19.5" customHeight="1">
      <c r="A236" s="249"/>
      <c r="B236" s="250"/>
      <c r="C236" s="250"/>
      <c r="D236" s="251"/>
      <c r="E236" s="55"/>
      <c r="F236" s="54"/>
      <c r="G236" s="32"/>
      <c r="H236" s="37"/>
      <c r="I236" s="37"/>
      <c r="J236" s="37"/>
      <c r="K236" s="37"/>
      <c r="L236" s="37"/>
      <c r="M236" s="32"/>
      <c r="N236" s="32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17"/>
      <c r="AI236" s="17"/>
      <c r="AP236">
        <v>236</v>
      </c>
      <c r="AQ236" s="61" t="s">
        <v>412</v>
      </c>
      <c r="BC236">
        <v>6.4</v>
      </c>
      <c r="BE236">
        <v>32</v>
      </c>
      <c r="BG236">
        <v>16</v>
      </c>
      <c r="BJ236">
        <v>0.1</v>
      </c>
      <c r="BL236">
        <v>24</v>
      </c>
      <c r="BW236">
        <v>18.4</v>
      </c>
      <c r="CV236">
        <v>19.2</v>
      </c>
      <c r="CZ236">
        <v>0.5</v>
      </c>
      <c r="DE236" s="61">
        <v>80</v>
      </c>
      <c r="EA236">
        <v>6</v>
      </c>
      <c r="FI236">
        <v>4</v>
      </c>
    </row>
    <row r="237" spans="1:135" ht="19.5" customHeight="1">
      <c r="A237" s="249"/>
      <c r="B237" s="250"/>
      <c r="C237" s="250"/>
      <c r="D237" s="251"/>
      <c r="E237" s="55"/>
      <c r="F237" s="54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17"/>
      <c r="AI237" s="17"/>
      <c r="AP237">
        <v>237</v>
      </c>
      <c r="AQ237" s="61" t="s">
        <v>413</v>
      </c>
      <c r="BC237">
        <v>8</v>
      </c>
      <c r="BD237">
        <v>16</v>
      </c>
      <c r="BG237">
        <v>16</v>
      </c>
      <c r="BL237">
        <v>36</v>
      </c>
      <c r="BW237">
        <v>8</v>
      </c>
      <c r="CZ237">
        <v>0.8</v>
      </c>
      <c r="DE237" s="61">
        <v>80</v>
      </c>
      <c r="EE237">
        <v>0.6</v>
      </c>
    </row>
    <row r="238" spans="1:167" ht="19.5" customHeight="1">
      <c r="A238" s="249"/>
      <c r="B238" s="250"/>
      <c r="C238" s="250"/>
      <c r="D238" s="251"/>
      <c r="E238" s="57"/>
      <c r="F238" s="54"/>
      <c r="G238" s="32"/>
      <c r="H238" s="32"/>
      <c r="I238" s="32"/>
      <c r="J238" s="32"/>
      <c r="K238" s="32"/>
      <c r="L238" s="32"/>
      <c r="M238" s="32"/>
      <c r="N238" s="32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17"/>
      <c r="AI238" s="17"/>
      <c r="AP238">
        <v>238</v>
      </c>
      <c r="AQ238" s="61" t="s">
        <v>414</v>
      </c>
      <c r="BJ238">
        <v>0.1</v>
      </c>
      <c r="BU238">
        <v>36</v>
      </c>
      <c r="DE238" s="61">
        <v>120</v>
      </c>
      <c r="FK238">
        <v>60</v>
      </c>
    </row>
    <row r="239" spans="1:135" ht="19.5" customHeight="1">
      <c r="A239" s="249"/>
      <c r="B239" s="250"/>
      <c r="C239" s="250"/>
      <c r="D239" s="251"/>
      <c r="E239" s="57"/>
      <c r="F239" s="54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17"/>
      <c r="AI239" s="17"/>
      <c r="AP239">
        <v>239</v>
      </c>
      <c r="AQ239" s="61" t="s">
        <v>416</v>
      </c>
      <c r="BC239">
        <v>3.6</v>
      </c>
      <c r="BG239">
        <v>12</v>
      </c>
      <c r="BJ239">
        <v>0.5</v>
      </c>
      <c r="BO239">
        <v>6</v>
      </c>
      <c r="BW239">
        <v>6</v>
      </c>
      <c r="CF239">
        <v>48</v>
      </c>
      <c r="CJ239">
        <v>86.4</v>
      </c>
      <c r="DE239" s="61">
        <v>120</v>
      </c>
      <c r="EE239">
        <v>0.4</v>
      </c>
    </row>
    <row r="240" spans="1:113" ht="19.5" customHeight="1">
      <c r="A240" s="249"/>
      <c r="B240" s="250"/>
      <c r="C240" s="250"/>
      <c r="D240" s="251"/>
      <c r="E240" s="55"/>
      <c r="F240" s="54"/>
      <c r="G240" s="32"/>
      <c r="H240" s="32"/>
      <c r="I240" s="32"/>
      <c r="J240" s="32"/>
      <c r="K240" s="32"/>
      <c r="L240" s="32"/>
      <c r="M240" s="32"/>
      <c r="N240" s="32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17"/>
      <c r="AI240" s="17"/>
      <c r="AP240">
        <v>240</v>
      </c>
      <c r="AQ240" s="61" t="s">
        <v>417</v>
      </c>
      <c r="BC240">
        <v>3.6</v>
      </c>
      <c r="BG240">
        <v>3.6</v>
      </c>
      <c r="BH240">
        <v>73.2</v>
      </c>
      <c r="BJ240">
        <v>0.2</v>
      </c>
      <c r="BO240">
        <v>5.4</v>
      </c>
      <c r="BW240">
        <v>3.6</v>
      </c>
      <c r="CF240">
        <v>12</v>
      </c>
      <c r="CJ240">
        <v>12</v>
      </c>
      <c r="DE240" s="61">
        <v>120</v>
      </c>
      <c r="DI240">
        <v>3.6</v>
      </c>
    </row>
    <row r="241" spans="1:141" ht="19.5" customHeight="1">
      <c r="A241" s="249"/>
      <c r="B241" s="250"/>
      <c r="C241" s="250"/>
      <c r="D241" s="251"/>
      <c r="E241" s="55"/>
      <c r="F241" s="54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17"/>
      <c r="AI241" s="17"/>
      <c r="AP241">
        <v>241</v>
      </c>
      <c r="AQ241" s="61" t="s">
        <v>418</v>
      </c>
      <c r="BC241">
        <v>1.2</v>
      </c>
      <c r="BG241">
        <v>3.6</v>
      </c>
      <c r="BH241">
        <v>85.2</v>
      </c>
      <c r="BJ241">
        <v>0.2</v>
      </c>
      <c r="BO241">
        <v>7.2</v>
      </c>
      <c r="BW241">
        <v>3.6</v>
      </c>
      <c r="DE241" s="61">
        <v>120</v>
      </c>
      <c r="DI241">
        <v>3.6</v>
      </c>
      <c r="EK241">
        <v>0.6</v>
      </c>
    </row>
    <row r="242" spans="1:141" ht="19.5" customHeight="1">
      <c r="A242" s="249"/>
      <c r="B242" s="250"/>
      <c r="C242" s="250"/>
      <c r="D242" s="251"/>
      <c r="E242" s="55"/>
      <c r="F242" s="54"/>
      <c r="G242" s="32"/>
      <c r="H242" s="32"/>
      <c r="I242" s="32"/>
      <c r="J242" s="32"/>
      <c r="K242" s="32"/>
      <c r="L242" s="32"/>
      <c r="M242" s="32"/>
      <c r="N242" s="32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17"/>
      <c r="AI242" s="17"/>
      <c r="AP242">
        <v>242</v>
      </c>
      <c r="AQ242" s="61" t="s">
        <v>419</v>
      </c>
      <c r="AY242">
        <v>60</v>
      </c>
      <c r="BC242">
        <v>1.2</v>
      </c>
      <c r="BG242">
        <v>3.6</v>
      </c>
      <c r="BH242">
        <v>61.2</v>
      </c>
      <c r="BJ242">
        <v>0.2</v>
      </c>
      <c r="BO242">
        <v>5.4</v>
      </c>
      <c r="BW242">
        <v>3.6</v>
      </c>
      <c r="DE242" s="61">
        <v>120</v>
      </c>
      <c r="DI242">
        <v>3.6</v>
      </c>
      <c r="EK242">
        <v>0.6</v>
      </c>
    </row>
    <row r="243" spans="1:109" ht="19.5" customHeight="1">
      <c r="A243" s="249"/>
      <c r="B243" s="250"/>
      <c r="C243" s="250"/>
      <c r="D243" s="251"/>
      <c r="E243" s="55"/>
      <c r="F243" s="54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17"/>
      <c r="AI243" s="17"/>
      <c r="AP243">
        <v>243</v>
      </c>
      <c r="AQ243" s="61" t="s">
        <v>420</v>
      </c>
      <c r="AZ243">
        <v>2.5</v>
      </c>
      <c r="BG243">
        <v>15</v>
      </c>
      <c r="BH243">
        <v>72</v>
      </c>
      <c r="BJ243">
        <v>0.2</v>
      </c>
      <c r="BL243">
        <v>4.1</v>
      </c>
      <c r="BM243">
        <v>4.3</v>
      </c>
      <c r="BW243">
        <v>4.3</v>
      </c>
      <c r="DE243" s="61">
        <v>120</v>
      </c>
    </row>
    <row r="244" spans="1:151" ht="19.5" customHeight="1">
      <c r="A244" s="249"/>
      <c r="B244" s="250"/>
      <c r="C244" s="250"/>
      <c r="D244" s="251"/>
      <c r="E244" s="55"/>
      <c r="F244" s="54"/>
      <c r="G244" s="32"/>
      <c r="H244" s="37"/>
      <c r="I244" s="37"/>
      <c r="J244" s="37"/>
      <c r="K244" s="37"/>
      <c r="L244" s="37"/>
      <c r="M244" s="32"/>
      <c r="N244" s="32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17"/>
      <c r="AI244" s="17"/>
      <c r="AP244">
        <v>244</v>
      </c>
      <c r="AQ244" s="61" t="s">
        <v>421</v>
      </c>
      <c r="BC244">
        <v>6</v>
      </c>
      <c r="CG244">
        <v>69.6</v>
      </c>
      <c r="CI244">
        <v>11.4</v>
      </c>
      <c r="CJ244">
        <v>21</v>
      </c>
      <c r="CM244">
        <v>6</v>
      </c>
      <c r="DE244" s="61">
        <v>120</v>
      </c>
      <c r="DX244">
        <v>1</v>
      </c>
      <c r="DY244">
        <v>0.4</v>
      </c>
      <c r="EP244">
        <v>0.4</v>
      </c>
      <c r="EQ244">
        <v>0.4</v>
      </c>
      <c r="EU244">
        <v>21.6</v>
      </c>
    </row>
    <row r="245" spans="1:109" ht="19.5" customHeight="1">
      <c r="A245" s="249"/>
      <c r="B245" s="250"/>
      <c r="C245" s="250"/>
      <c r="D245" s="251"/>
      <c r="E245" s="55"/>
      <c r="F245" s="54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17"/>
      <c r="AI245" s="17"/>
      <c r="AP245">
        <v>245</v>
      </c>
      <c r="AQ245" s="61" t="s">
        <v>422</v>
      </c>
      <c r="BC245">
        <v>3.4</v>
      </c>
      <c r="BD245">
        <v>11.3</v>
      </c>
      <c r="BJ245">
        <v>1.5</v>
      </c>
      <c r="BL245">
        <v>7.5</v>
      </c>
      <c r="DE245" s="61">
        <v>75</v>
      </c>
    </row>
    <row r="246" spans="1:146" ht="19.5" customHeight="1">
      <c r="A246" s="249"/>
      <c r="B246" s="250"/>
      <c r="C246" s="250"/>
      <c r="D246" s="251"/>
      <c r="E246" s="55"/>
      <c r="F246" s="54"/>
      <c r="G246" s="32"/>
      <c r="H246" s="37"/>
      <c r="I246" s="37"/>
      <c r="J246" s="37"/>
      <c r="K246" s="37"/>
      <c r="L246" s="37"/>
      <c r="M246" s="32"/>
      <c r="N246" s="32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17"/>
      <c r="AI246" s="17"/>
      <c r="AP246">
        <v>246</v>
      </c>
      <c r="AQ246" s="61" t="s">
        <v>423</v>
      </c>
      <c r="BC246">
        <v>3.4</v>
      </c>
      <c r="BD246">
        <v>11.3</v>
      </c>
      <c r="BJ246">
        <v>1.5</v>
      </c>
      <c r="BL246">
        <v>11.3</v>
      </c>
      <c r="DE246" s="61">
        <v>75</v>
      </c>
      <c r="EP246">
        <v>0.4</v>
      </c>
    </row>
    <row r="247" spans="1:109" ht="19.5" customHeight="1">
      <c r="A247" s="249"/>
      <c r="B247" s="250"/>
      <c r="C247" s="250"/>
      <c r="D247" s="251"/>
      <c r="E247" s="55"/>
      <c r="F247" s="54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17"/>
      <c r="AI247" s="17"/>
      <c r="AP247">
        <v>247</v>
      </c>
      <c r="AQ247" s="61" t="s">
        <v>424</v>
      </c>
      <c r="BC247">
        <v>3.4</v>
      </c>
      <c r="BD247">
        <v>11.3</v>
      </c>
      <c r="BJ247">
        <v>1.5</v>
      </c>
      <c r="BM247">
        <v>3.8</v>
      </c>
      <c r="DE247" s="61">
        <v>75</v>
      </c>
    </row>
    <row r="248" spans="1:146" ht="19.5" customHeight="1">
      <c r="A248" s="249"/>
      <c r="B248" s="250"/>
      <c r="C248" s="250"/>
      <c r="D248" s="251"/>
      <c r="E248" s="55"/>
      <c r="F248" s="54"/>
      <c r="G248" s="32"/>
      <c r="H248" s="37"/>
      <c r="I248" s="37"/>
      <c r="J248" s="37"/>
      <c r="K248" s="37"/>
      <c r="L248" s="37"/>
      <c r="M248" s="32"/>
      <c r="N248" s="32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17"/>
      <c r="AI248" s="17"/>
      <c r="AP248">
        <v>248</v>
      </c>
      <c r="AQ248" s="61" t="s">
        <v>425</v>
      </c>
      <c r="BC248">
        <v>3.4</v>
      </c>
      <c r="BD248">
        <v>11.3</v>
      </c>
      <c r="BJ248">
        <v>1.5</v>
      </c>
      <c r="BM248">
        <v>3.8</v>
      </c>
      <c r="DE248" s="61">
        <v>75</v>
      </c>
      <c r="EP248">
        <v>0.4</v>
      </c>
    </row>
    <row r="249" spans="1:135" ht="19.5" customHeight="1">
      <c r="A249" s="249"/>
      <c r="B249" s="250"/>
      <c r="C249" s="250"/>
      <c r="D249" s="251"/>
      <c r="E249" s="55"/>
      <c r="F249" s="54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17"/>
      <c r="AI249" s="17"/>
      <c r="AP249">
        <v>249</v>
      </c>
      <c r="AQ249" s="61" t="s">
        <v>426</v>
      </c>
      <c r="BC249">
        <v>8</v>
      </c>
      <c r="BJ249">
        <v>0.16</v>
      </c>
      <c r="BL249">
        <v>24</v>
      </c>
      <c r="BW249">
        <v>4.8</v>
      </c>
      <c r="CF249">
        <v>42.6</v>
      </c>
      <c r="DE249" s="61">
        <v>80</v>
      </c>
      <c r="DH249">
        <v>0.8</v>
      </c>
      <c r="EE249">
        <v>0.4</v>
      </c>
    </row>
    <row r="250" spans="1:109" ht="19.5" customHeight="1">
      <c r="A250" s="249"/>
      <c r="B250" s="250"/>
      <c r="C250" s="250"/>
      <c r="D250" s="251"/>
      <c r="E250" s="55"/>
      <c r="F250" s="54"/>
      <c r="G250" s="32"/>
      <c r="H250" s="37"/>
      <c r="I250" s="37"/>
      <c r="J250" s="37"/>
      <c r="K250" s="37"/>
      <c r="L250" s="37"/>
      <c r="M250" s="32"/>
      <c r="N250" s="32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17"/>
      <c r="AI250" s="17"/>
      <c r="AP250">
        <v>250</v>
      </c>
      <c r="AQ250" s="61" t="s">
        <v>427</v>
      </c>
      <c r="AR250">
        <v>60.6</v>
      </c>
      <c r="BC250">
        <v>4.5</v>
      </c>
      <c r="BG250">
        <v>12</v>
      </c>
      <c r="BR250">
        <v>15.2</v>
      </c>
      <c r="CH250">
        <v>57</v>
      </c>
      <c r="CI250">
        <v>12</v>
      </c>
      <c r="CJ250">
        <v>12</v>
      </c>
      <c r="CM250">
        <v>5</v>
      </c>
      <c r="DE250" s="61">
        <v>150</v>
      </c>
    </row>
    <row r="251" spans="1:157" ht="19.5" customHeight="1">
      <c r="A251" s="249"/>
      <c r="B251" s="250"/>
      <c r="C251" s="250"/>
      <c r="D251" s="251"/>
      <c r="E251" s="55"/>
      <c r="F251" s="54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17"/>
      <c r="AI251" s="17"/>
      <c r="AP251">
        <v>251</v>
      </c>
      <c r="AQ251" s="61" t="s">
        <v>199</v>
      </c>
      <c r="AR251">
        <v>96.5</v>
      </c>
      <c r="BC251">
        <v>1.2</v>
      </c>
      <c r="BH251">
        <v>8</v>
      </c>
      <c r="BJ251">
        <v>0.2</v>
      </c>
      <c r="DE251" s="61">
        <v>80</v>
      </c>
      <c r="FA251">
        <v>28</v>
      </c>
    </row>
    <row r="252" spans="1:128" ht="19.5" customHeight="1">
      <c r="A252" s="249"/>
      <c r="B252" s="250"/>
      <c r="C252" s="250"/>
      <c r="D252" s="251"/>
      <c r="E252" s="55"/>
      <c r="F252" s="54"/>
      <c r="G252" s="32"/>
      <c r="H252" s="37"/>
      <c r="I252" s="37"/>
      <c r="J252" s="37"/>
      <c r="K252" s="37"/>
      <c r="L252" s="37"/>
      <c r="M252" s="32"/>
      <c r="N252" s="32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17"/>
      <c r="AI252" s="17"/>
      <c r="AP252">
        <v>252</v>
      </c>
      <c r="AQ252" s="61" t="s">
        <v>428</v>
      </c>
      <c r="AR252">
        <v>72.4</v>
      </c>
      <c r="BC252">
        <v>2.4</v>
      </c>
      <c r="BW252">
        <v>4</v>
      </c>
      <c r="CI252">
        <v>30</v>
      </c>
      <c r="CM252">
        <v>12</v>
      </c>
      <c r="DE252" s="61">
        <v>120</v>
      </c>
      <c r="DX252">
        <v>2.8</v>
      </c>
    </row>
    <row r="253" spans="1:109" ht="19.5" customHeight="1">
      <c r="A253" s="249"/>
      <c r="B253" s="250"/>
      <c r="C253" s="250"/>
      <c r="D253" s="251"/>
      <c r="E253" s="55"/>
      <c r="F253" s="54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17"/>
      <c r="AI253" s="17"/>
      <c r="AP253">
        <v>253</v>
      </c>
      <c r="AQ253" s="61" t="s">
        <v>199</v>
      </c>
      <c r="AR253">
        <v>96.5</v>
      </c>
      <c r="BC253">
        <v>1.2</v>
      </c>
      <c r="BH253">
        <v>8</v>
      </c>
      <c r="BJ253">
        <v>0.2</v>
      </c>
      <c r="DE253" s="61">
        <v>80</v>
      </c>
    </row>
    <row r="254" spans="1:150" ht="19.5" customHeight="1">
      <c r="A254" s="249"/>
      <c r="B254" s="250"/>
      <c r="C254" s="250"/>
      <c r="D254" s="251"/>
      <c r="E254" s="55"/>
      <c r="F254" s="54"/>
      <c r="G254" s="32"/>
      <c r="H254" s="37"/>
      <c r="I254" s="37"/>
      <c r="J254" s="37"/>
      <c r="K254" s="37"/>
      <c r="L254" s="37"/>
      <c r="M254" s="32"/>
      <c r="N254" s="32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17"/>
      <c r="AI254" s="17"/>
      <c r="AP254">
        <v>254</v>
      </c>
      <c r="AQ254" s="61" t="s">
        <v>430</v>
      </c>
      <c r="AR254">
        <v>71.1</v>
      </c>
      <c r="BC254">
        <v>5.4</v>
      </c>
      <c r="CI254">
        <v>10.8</v>
      </c>
      <c r="DE254" s="61">
        <v>180</v>
      </c>
      <c r="DQ254">
        <v>86.4</v>
      </c>
      <c r="ET254">
        <v>34.2</v>
      </c>
    </row>
    <row r="255" spans="1:109" ht="19.5" customHeight="1">
      <c r="A255" s="249"/>
      <c r="B255" s="250"/>
      <c r="C255" s="250"/>
      <c r="D255" s="251"/>
      <c r="E255" s="55"/>
      <c r="F255" s="54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17"/>
      <c r="AI255" s="17"/>
      <c r="AP255">
        <v>255</v>
      </c>
      <c r="AQ255" s="61" t="s">
        <v>431</v>
      </c>
      <c r="AR255">
        <v>96.6</v>
      </c>
      <c r="BC255">
        <v>6</v>
      </c>
      <c r="CG255">
        <v>158</v>
      </c>
      <c r="CI255">
        <v>18</v>
      </c>
      <c r="CJ255">
        <v>27</v>
      </c>
      <c r="CM255">
        <v>10</v>
      </c>
      <c r="DE255" s="61">
        <v>200</v>
      </c>
    </row>
    <row r="256" spans="1:109" ht="19.5" customHeight="1">
      <c r="A256" s="252"/>
      <c r="B256" s="253"/>
      <c r="C256" s="253"/>
      <c r="D256" s="254"/>
      <c r="E256" s="55"/>
      <c r="F256" s="54"/>
      <c r="G256" s="32"/>
      <c r="H256" s="37"/>
      <c r="I256" s="37"/>
      <c r="J256" s="37"/>
      <c r="K256" s="37"/>
      <c r="L256" s="37"/>
      <c r="M256" s="32"/>
      <c r="N256" s="32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17"/>
      <c r="AI256" s="17"/>
      <c r="AP256">
        <v>256</v>
      </c>
      <c r="AQ256" s="61" t="s">
        <v>432</v>
      </c>
      <c r="AR256">
        <v>100.5</v>
      </c>
      <c r="BG256">
        <v>30</v>
      </c>
      <c r="CI256">
        <v>2.4</v>
      </c>
      <c r="CJ256">
        <v>13.5</v>
      </c>
      <c r="DE256" s="61">
        <v>100</v>
      </c>
    </row>
    <row r="257" spans="1:109" ht="19.5" customHeight="1">
      <c r="A257" s="55"/>
      <c r="B257" s="55"/>
      <c r="C257" s="55"/>
      <c r="D257" s="55"/>
      <c r="E257" s="55"/>
      <c r="F257" s="54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17"/>
      <c r="AI257" s="17"/>
      <c r="AP257">
        <v>257</v>
      </c>
      <c r="AQ257" s="61" t="s">
        <v>433</v>
      </c>
      <c r="AR257">
        <v>100.5</v>
      </c>
      <c r="AZ257">
        <v>3</v>
      </c>
      <c r="BL257">
        <v>2</v>
      </c>
      <c r="CI257">
        <v>14.5</v>
      </c>
      <c r="CJ257">
        <v>16</v>
      </c>
      <c r="CN257">
        <v>10</v>
      </c>
      <c r="DE257" s="61">
        <v>100</v>
      </c>
    </row>
    <row r="258" spans="1:113" ht="19.5" customHeight="1">
      <c r="A258" s="55"/>
      <c r="B258" s="55"/>
      <c r="C258" s="55"/>
      <c r="D258" s="55"/>
      <c r="E258" s="55"/>
      <c r="F258" s="54"/>
      <c r="G258" s="32"/>
      <c r="H258" s="37"/>
      <c r="I258" s="37"/>
      <c r="J258" s="37"/>
      <c r="K258" s="37"/>
      <c r="L258" s="37"/>
      <c r="M258" s="32"/>
      <c r="N258" s="32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17"/>
      <c r="AI258" s="17"/>
      <c r="AP258">
        <v>258</v>
      </c>
      <c r="AQ258" s="61" t="s">
        <v>434</v>
      </c>
      <c r="AR258">
        <v>44</v>
      </c>
      <c r="AS258">
        <v>25</v>
      </c>
      <c r="BC258">
        <v>1.5</v>
      </c>
      <c r="BJ258">
        <v>4</v>
      </c>
      <c r="CI258">
        <v>2.4</v>
      </c>
      <c r="CQ258">
        <v>16</v>
      </c>
      <c r="DE258" s="61">
        <v>100</v>
      </c>
      <c r="DI258">
        <v>5</v>
      </c>
    </row>
    <row r="259" spans="1:141" ht="19.5" customHeight="1">
      <c r="A259" s="55"/>
      <c r="B259" s="55"/>
      <c r="C259" s="55"/>
      <c r="D259" s="55"/>
      <c r="E259" s="55"/>
      <c r="F259" s="54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17"/>
      <c r="AI259" s="17"/>
      <c r="AP259">
        <v>259</v>
      </c>
      <c r="AQ259" s="61" t="s">
        <v>435</v>
      </c>
      <c r="AS259">
        <v>96.4</v>
      </c>
      <c r="BC259">
        <v>2</v>
      </c>
      <c r="BM259">
        <v>3</v>
      </c>
      <c r="CG259">
        <v>150</v>
      </c>
      <c r="CI259">
        <v>24</v>
      </c>
      <c r="CJ259">
        <v>27</v>
      </c>
      <c r="CP259">
        <v>0.8</v>
      </c>
      <c r="DE259" s="61">
        <v>200</v>
      </c>
      <c r="EE259">
        <v>1</v>
      </c>
      <c r="EK259">
        <v>0.8</v>
      </c>
    </row>
    <row r="260" spans="1:109" ht="19.5" customHeight="1">
      <c r="A260" s="55"/>
      <c r="B260" s="55"/>
      <c r="C260" s="55"/>
      <c r="D260" s="55"/>
      <c r="E260" s="55"/>
      <c r="F260" s="54"/>
      <c r="G260" s="32"/>
      <c r="H260" s="37"/>
      <c r="I260" s="37"/>
      <c r="J260" s="37"/>
      <c r="K260" s="37"/>
      <c r="L260" s="37"/>
      <c r="M260" s="32"/>
      <c r="N260" s="32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17"/>
      <c r="AI260" s="17"/>
      <c r="AP260">
        <v>260</v>
      </c>
      <c r="AQ260" s="61" t="s">
        <v>436</v>
      </c>
      <c r="AR260">
        <v>72.5</v>
      </c>
      <c r="AZ260">
        <v>1</v>
      </c>
      <c r="BC260">
        <v>3</v>
      </c>
      <c r="BD260">
        <v>28.5</v>
      </c>
      <c r="BL260">
        <v>1.6</v>
      </c>
      <c r="CG260">
        <v>112.5</v>
      </c>
      <c r="CI260">
        <v>9</v>
      </c>
      <c r="CJ260">
        <v>10.1</v>
      </c>
      <c r="DE260" s="61">
        <v>150</v>
      </c>
    </row>
    <row r="261" spans="1:113" ht="19.5" customHeight="1">
      <c r="A261" s="55"/>
      <c r="B261" s="55"/>
      <c r="C261" s="55"/>
      <c r="D261" s="55"/>
      <c r="E261" s="55"/>
      <c r="F261" s="54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17"/>
      <c r="AI261" s="17"/>
      <c r="AP261">
        <v>261</v>
      </c>
      <c r="AQ261" s="61" t="s">
        <v>437</v>
      </c>
      <c r="AR261">
        <v>100</v>
      </c>
      <c r="CB261">
        <v>12.5</v>
      </c>
      <c r="DE261" s="61" t="s">
        <v>438</v>
      </c>
      <c r="DI261">
        <v>15</v>
      </c>
    </row>
    <row r="262" spans="1:109" ht="19.5" customHeight="1">
      <c r="A262" s="237" t="s">
        <v>109</v>
      </c>
      <c r="B262" s="238"/>
      <c r="C262" s="238"/>
      <c r="D262" s="239"/>
      <c r="E262" s="57"/>
      <c r="F262" s="54"/>
      <c r="G262" s="32"/>
      <c r="H262" s="37"/>
      <c r="I262" s="37"/>
      <c r="J262" s="37"/>
      <c r="K262" s="37"/>
      <c r="L262" s="37"/>
      <c r="M262" s="32"/>
      <c r="N262" s="32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17"/>
      <c r="AI262" s="17"/>
      <c r="AP262">
        <v>262</v>
      </c>
      <c r="AQ262" s="61" t="s">
        <v>439</v>
      </c>
      <c r="AS262">
        <v>96.4</v>
      </c>
      <c r="BC262">
        <v>6</v>
      </c>
      <c r="CG262">
        <v>150</v>
      </c>
      <c r="CI262">
        <v>24</v>
      </c>
      <c r="CJ262">
        <v>27</v>
      </c>
      <c r="CM262">
        <v>10</v>
      </c>
      <c r="DE262" s="61">
        <v>200</v>
      </c>
    </row>
    <row r="263" spans="1:127" ht="19.5" customHeight="1">
      <c r="A263" s="240"/>
      <c r="B263" s="241"/>
      <c r="C263" s="241"/>
      <c r="D263" s="242"/>
      <c r="E263" s="57"/>
      <c r="F263" s="54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17"/>
      <c r="AI263" s="17"/>
      <c r="AP263">
        <v>261</v>
      </c>
      <c r="AQ263" s="61" t="s">
        <v>440</v>
      </c>
      <c r="CR263">
        <v>50</v>
      </c>
      <c r="DE263" s="61">
        <v>50</v>
      </c>
      <c r="DS263">
        <v>50</v>
      </c>
      <c r="DU263">
        <v>50</v>
      </c>
      <c r="DW263">
        <v>50</v>
      </c>
    </row>
    <row r="264" spans="1:126" ht="19.5" customHeight="1">
      <c r="A264" s="240"/>
      <c r="B264" s="241"/>
      <c r="C264" s="241"/>
      <c r="D264" s="242"/>
      <c r="E264" s="57"/>
      <c r="F264" s="54"/>
      <c r="G264" s="32"/>
      <c r="H264" s="37"/>
      <c r="I264" s="37"/>
      <c r="J264" s="37"/>
      <c r="K264" s="37"/>
      <c r="L264" s="37"/>
      <c r="M264" s="32"/>
      <c r="N264" s="32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17"/>
      <c r="AI264" s="17"/>
      <c r="AP264">
        <v>262</v>
      </c>
      <c r="AQ264" s="61" t="s">
        <v>415</v>
      </c>
      <c r="DE264" s="61">
        <v>50</v>
      </c>
      <c r="DR264">
        <v>50</v>
      </c>
      <c r="DT264">
        <v>50</v>
      </c>
      <c r="DV264">
        <v>50</v>
      </c>
    </row>
    <row r="265" spans="1:109" ht="19.5" customHeight="1">
      <c r="A265" s="240"/>
      <c r="B265" s="241"/>
      <c r="C265" s="241"/>
      <c r="D265" s="242"/>
      <c r="E265" s="57"/>
      <c r="F265" s="54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17"/>
      <c r="AI265" s="17"/>
      <c r="AP265">
        <v>263</v>
      </c>
      <c r="AQ265" s="61" t="s">
        <v>441</v>
      </c>
      <c r="BF265">
        <v>125</v>
      </c>
      <c r="DE265" s="61">
        <v>125</v>
      </c>
    </row>
    <row r="266" spans="1:109" ht="19.5" customHeight="1">
      <c r="A266" s="240"/>
      <c r="B266" s="241"/>
      <c r="C266" s="241"/>
      <c r="D266" s="242"/>
      <c r="E266" s="5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P266">
        <v>264</v>
      </c>
      <c r="AQ266" s="61" t="s">
        <v>140</v>
      </c>
      <c r="BK266">
        <v>125</v>
      </c>
      <c r="DE266">
        <v>125</v>
      </c>
    </row>
    <row r="267" spans="1:109" ht="19.5" customHeight="1">
      <c r="A267" s="240"/>
      <c r="B267" s="241"/>
      <c r="C267" s="241"/>
      <c r="D267" s="242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P267">
        <v>265</v>
      </c>
      <c r="AQ267" s="61" t="s">
        <v>442</v>
      </c>
      <c r="BD267">
        <v>180</v>
      </c>
      <c r="DE267" s="61">
        <v>180</v>
      </c>
    </row>
    <row r="268" spans="1:150" ht="19.5" customHeight="1">
      <c r="A268" s="240"/>
      <c r="B268" s="241"/>
      <c r="C268" s="241"/>
      <c r="D268" s="242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P268">
        <v>266</v>
      </c>
      <c r="AQ268" s="61" t="s">
        <v>447</v>
      </c>
      <c r="DE268" s="61">
        <v>200</v>
      </c>
      <c r="ET268">
        <v>200</v>
      </c>
    </row>
    <row r="269" spans="1:109" ht="19.5" customHeight="1">
      <c r="A269" s="240"/>
      <c r="B269" s="241"/>
      <c r="C269" s="241"/>
      <c r="D269" s="242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P269">
        <v>267</v>
      </c>
      <c r="AQ269" s="61" t="s">
        <v>448</v>
      </c>
      <c r="CD269">
        <v>200</v>
      </c>
      <c r="DE269" s="61">
        <v>200</v>
      </c>
    </row>
    <row r="270" spans="1:129" ht="19.5" customHeight="1">
      <c r="A270" s="240"/>
      <c r="B270" s="241"/>
      <c r="C270" s="241"/>
      <c r="D270" s="242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Q270" s="61" t="s">
        <v>450</v>
      </c>
      <c r="AR270" s="62">
        <v>115</v>
      </c>
      <c r="AS270" s="62">
        <v>122.7</v>
      </c>
      <c r="AT270" s="62">
        <v>69.3</v>
      </c>
      <c r="AU270" s="62">
        <v>59</v>
      </c>
      <c r="AV270" s="62">
        <v>98.2</v>
      </c>
      <c r="AW270" s="62">
        <v>54</v>
      </c>
      <c r="AX270" s="62">
        <v>69.15</v>
      </c>
      <c r="AY270" s="62">
        <v>81.22</v>
      </c>
      <c r="AZ270" s="62">
        <v>181.81</v>
      </c>
      <c r="BA270" s="62"/>
      <c r="BB270" s="62"/>
      <c r="BC270" s="62">
        <v>68.478</v>
      </c>
      <c r="BD270" s="62">
        <v>20.68</v>
      </c>
      <c r="BE270" s="97">
        <v>80.54</v>
      </c>
      <c r="BF270" s="62">
        <v>24.53</v>
      </c>
      <c r="BG270" s="62">
        <v>70.24</v>
      </c>
      <c r="BH270" s="62">
        <v>58.96</v>
      </c>
      <c r="BI270" s="62">
        <v>140.8</v>
      </c>
      <c r="BJ270" s="62">
        <v>2.7</v>
      </c>
      <c r="BK270" s="62">
        <v>33.02</v>
      </c>
      <c r="BL270" s="62">
        <v>13.28</v>
      </c>
      <c r="BM270" s="62">
        <v>75</v>
      </c>
      <c r="BN270" s="62">
        <v>40.5</v>
      </c>
      <c r="BO270" s="62">
        <v>18.1</v>
      </c>
      <c r="BP270" s="62">
        <v>13.56</v>
      </c>
      <c r="BQ270" s="62">
        <v>18.6</v>
      </c>
      <c r="BR270" s="62">
        <v>27.2</v>
      </c>
      <c r="BS270" s="62">
        <v>19.06</v>
      </c>
      <c r="BT270" s="62">
        <v>15</v>
      </c>
      <c r="BU270" s="62">
        <v>11.8</v>
      </c>
      <c r="BV270" s="62">
        <v>175</v>
      </c>
      <c r="BW270" s="62">
        <v>26.4</v>
      </c>
      <c r="BX270" s="62"/>
      <c r="BY270" s="62">
        <v>35</v>
      </c>
      <c r="BZ270" s="62">
        <v>62.7</v>
      </c>
      <c r="CA270" s="62">
        <v>58.24</v>
      </c>
      <c r="CB270" s="62">
        <v>62</v>
      </c>
      <c r="CC270" s="62">
        <v>98</v>
      </c>
      <c r="CD270" s="62">
        <v>27.7</v>
      </c>
      <c r="CE270" s="62">
        <v>120</v>
      </c>
      <c r="CF270" s="62">
        <v>18.44</v>
      </c>
      <c r="CG270" s="62">
        <v>10.45</v>
      </c>
      <c r="CH270" s="62">
        <v>4.66</v>
      </c>
      <c r="CI270" s="62">
        <v>6.48</v>
      </c>
      <c r="CJ270" s="62">
        <v>8.57</v>
      </c>
      <c r="CK270" s="62">
        <v>38</v>
      </c>
      <c r="CL270" s="97">
        <v>26.5</v>
      </c>
      <c r="CM270" s="62">
        <v>52.8</v>
      </c>
      <c r="CN270" s="62">
        <v>12.5</v>
      </c>
      <c r="CO270" s="62">
        <v>7.47</v>
      </c>
      <c r="CP270" s="62">
        <v>56.4</v>
      </c>
      <c r="CQ270" s="62">
        <v>14.52</v>
      </c>
      <c r="CR270" s="62">
        <v>25.68</v>
      </c>
      <c r="CS270" s="62">
        <v>150</v>
      </c>
      <c r="CT270" s="62">
        <v>14.8</v>
      </c>
      <c r="CU270" s="62">
        <v>250</v>
      </c>
      <c r="CV270" s="62">
        <v>150</v>
      </c>
      <c r="CW270" s="62">
        <v>288</v>
      </c>
      <c r="CX270" s="62">
        <v>452</v>
      </c>
      <c r="CY270" s="62">
        <v>10.24</v>
      </c>
      <c r="CZ270" s="62">
        <v>190</v>
      </c>
      <c r="DA270" s="62">
        <v>610</v>
      </c>
      <c r="DB270" s="62">
        <v>2300</v>
      </c>
      <c r="DC270" s="62">
        <v>230</v>
      </c>
      <c r="DD270" s="62">
        <v>98</v>
      </c>
      <c r="DE270" s="62"/>
      <c r="DF270" s="62">
        <v>26.5</v>
      </c>
      <c r="DG270" s="62">
        <v>68</v>
      </c>
      <c r="DH270" s="62">
        <v>46</v>
      </c>
      <c r="DI270" s="62">
        <v>39</v>
      </c>
      <c r="DJ270" s="62"/>
      <c r="DK270" s="62">
        <v>13.56</v>
      </c>
      <c r="DL270" s="62">
        <v>19.06</v>
      </c>
      <c r="DM270" s="62">
        <v>98</v>
      </c>
      <c r="DN270" s="62">
        <v>12.5</v>
      </c>
      <c r="DO270" s="62">
        <v>23.5</v>
      </c>
      <c r="DP270" s="62">
        <v>29.6</v>
      </c>
      <c r="DQ270" s="62">
        <v>40</v>
      </c>
      <c r="DR270" s="62">
        <v>29.6</v>
      </c>
      <c r="DS270" s="62">
        <v>40</v>
      </c>
      <c r="DT270" s="61"/>
      <c r="DU270" s="61"/>
      <c r="DV270" s="61"/>
      <c r="DW270" s="61"/>
      <c r="DX270" s="61">
        <v>58</v>
      </c>
      <c r="DY270" s="61">
        <v>6.8</v>
      </c>
    </row>
    <row r="271" spans="1:35" ht="19.5" customHeight="1">
      <c r="A271" s="240"/>
      <c r="B271" s="241"/>
      <c r="C271" s="241"/>
      <c r="D271" s="242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9.5" customHeight="1">
      <c r="A272" s="240"/>
      <c r="B272" s="241"/>
      <c r="C272" s="241"/>
      <c r="D272" s="242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9.5" customHeight="1">
      <c r="A273" s="240"/>
      <c r="B273" s="241"/>
      <c r="C273" s="241"/>
      <c r="D273" s="242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9.5" customHeight="1">
      <c r="A274" s="243"/>
      <c r="B274" s="244"/>
      <c r="C274" s="244"/>
      <c r="D274" s="24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9.5" customHeight="1">
      <c r="A275" s="57"/>
      <c r="B275" s="57"/>
      <c r="C275" s="57"/>
      <c r="D275" s="57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9.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9.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9.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9.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9.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9.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9.5" customHeight="1">
      <c r="A282" s="237" t="s">
        <v>110</v>
      </c>
      <c r="B282" s="238"/>
      <c r="C282" s="238"/>
      <c r="D282" s="239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9.5" customHeight="1">
      <c r="A283" s="240"/>
      <c r="B283" s="241"/>
      <c r="C283" s="241"/>
      <c r="D283" s="24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9.5" customHeight="1">
      <c r="A284" s="240"/>
      <c r="B284" s="241"/>
      <c r="C284" s="241"/>
      <c r="D284" s="242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9.5" customHeight="1">
      <c r="A285" s="240"/>
      <c r="B285" s="241"/>
      <c r="C285" s="241"/>
      <c r="D285" s="242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9.5" customHeight="1">
      <c r="A286" s="240"/>
      <c r="B286" s="241"/>
      <c r="C286" s="241"/>
      <c r="D286" s="242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9.5" customHeight="1">
      <c r="A287" s="240"/>
      <c r="B287" s="241"/>
      <c r="C287" s="241"/>
      <c r="D287" s="242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9.5" customHeight="1">
      <c r="A288" s="240"/>
      <c r="B288" s="241"/>
      <c r="C288" s="241"/>
      <c r="D288" s="242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9.5" customHeight="1">
      <c r="A289" s="240"/>
      <c r="B289" s="241"/>
      <c r="C289" s="241"/>
      <c r="D289" s="242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9.5" customHeight="1">
      <c r="A290" s="240"/>
      <c r="B290" s="241"/>
      <c r="C290" s="241"/>
      <c r="D290" s="242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9.5" customHeight="1">
      <c r="A291" s="240"/>
      <c r="B291" s="241"/>
      <c r="C291" s="241"/>
      <c r="D291" s="242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9.5" customHeight="1">
      <c r="A292" s="240"/>
      <c r="B292" s="241"/>
      <c r="C292" s="241"/>
      <c r="D292" s="242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9.5" customHeight="1">
      <c r="A293" s="240"/>
      <c r="B293" s="241"/>
      <c r="C293" s="241"/>
      <c r="D293" s="242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9.5" customHeight="1">
      <c r="A294" s="240"/>
      <c r="B294" s="241"/>
      <c r="C294" s="241"/>
      <c r="D294" s="242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9.5" customHeight="1">
      <c r="A295" s="240"/>
      <c r="B295" s="241"/>
      <c r="C295" s="241"/>
      <c r="D295" s="242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9.5" customHeight="1">
      <c r="A296" s="240"/>
      <c r="B296" s="241"/>
      <c r="C296" s="241"/>
      <c r="D296" s="242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9.5" customHeight="1">
      <c r="A297" s="240"/>
      <c r="B297" s="241"/>
      <c r="C297" s="241"/>
      <c r="D297" s="242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9.5" customHeight="1">
      <c r="A298" s="240"/>
      <c r="B298" s="241"/>
      <c r="C298" s="241"/>
      <c r="D298" s="242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9.5" customHeight="1">
      <c r="A299" s="240"/>
      <c r="B299" s="241"/>
      <c r="C299" s="241"/>
      <c r="D299" s="242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9.5" customHeight="1">
      <c r="A300" s="240"/>
      <c r="B300" s="241"/>
      <c r="C300" s="241"/>
      <c r="D300" s="242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9.5" customHeight="1">
      <c r="A301" s="240"/>
      <c r="B301" s="241"/>
      <c r="C301" s="241"/>
      <c r="D301" s="242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0"/>
      <c r="B302" s="241"/>
      <c r="C302" s="241"/>
      <c r="D302" s="242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0"/>
      <c r="B303" s="241"/>
      <c r="C303" s="241"/>
      <c r="D303" s="242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0"/>
      <c r="B304" s="241"/>
      <c r="C304" s="241"/>
      <c r="D304" s="242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0"/>
      <c r="B305" s="241"/>
      <c r="C305" s="241"/>
      <c r="D305" s="242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0"/>
      <c r="B306" s="241"/>
      <c r="C306" s="241"/>
      <c r="D306" s="242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0"/>
      <c r="B307" s="241"/>
      <c r="C307" s="241"/>
      <c r="D307" s="242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0"/>
      <c r="B308" s="241"/>
      <c r="C308" s="241"/>
      <c r="D308" s="242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0"/>
      <c r="B309" s="241"/>
      <c r="C309" s="241"/>
      <c r="D309" s="242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0"/>
      <c r="B310" s="241"/>
      <c r="C310" s="241"/>
      <c r="D310" s="242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0"/>
      <c r="B311" s="241"/>
      <c r="C311" s="241"/>
      <c r="D311" s="242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0"/>
      <c r="B312" s="241"/>
      <c r="C312" s="241"/>
      <c r="D312" s="242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0"/>
      <c r="B313" s="241"/>
      <c r="C313" s="241"/>
      <c r="D313" s="242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3"/>
      <c r="B314" s="244"/>
      <c r="C314" s="244"/>
      <c r="D314" s="24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57"/>
      <c r="B315" s="57"/>
      <c r="C315" s="57"/>
      <c r="D315" s="57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43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Q399" s="61">
        <v>0</v>
      </c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20.25">
      <c r="A402" s="153"/>
      <c r="B402" s="153"/>
      <c r="C402" s="153"/>
      <c r="D402" s="153"/>
      <c r="E402" s="153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3"/>
      <c r="B403" s="153"/>
      <c r="C403" s="153"/>
      <c r="D403" s="153"/>
      <c r="E403" s="15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3"/>
      <c r="B404" s="153"/>
      <c r="C404" s="153"/>
      <c r="D404" s="153"/>
      <c r="E404" s="15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3"/>
      <c r="B405" s="153"/>
      <c r="C405" s="153"/>
      <c r="D405" s="153"/>
      <c r="E405" s="15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3"/>
      <c r="B406" s="153"/>
      <c r="C406" s="153"/>
      <c r="D406" s="153"/>
      <c r="E406" s="15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3"/>
      <c r="B407" s="153"/>
      <c r="C407" s="153"/>
      <c r="D407" s="153"/>
      <c r="E407" s="15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3"/>
      <c r="B408" s="153"/>
      <c r="C408" s="153"/>
      <c r="D408" s="153"/>
      <c r="E408" s="15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3"/>
      <c r="B409" s="153"/>
      <c r="C409" s="153"/>
      <c r="D409" s="153"/>
      <c r="E409" s="15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3"/>
      <c r="B410" s="153"/>
      <c r="C410" s="153"/>
      <c r="D410" s="153"/>
      <c r="E410" s="15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3"/>
      <c r="B411" s="153"/>
      <c r="C411" s="153"/>
      <c r="D411" s="153"/>
      <c r="E411" s="15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3"/>
      <c r="B412" s="153"/>
      <c r="C412" s="153"/>
      <c r="D412" s="153"/>
      <c r="E412" s="15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3"/>
      <c r="B413" s="153"/>
      <c r="C413" s="153"/>
      <c r="D413" s="153"/>
      <c r="E413" s="15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3"/>
      <c r="B414" s="153"/>
      <c r="C414" s="153"/>
      <c r="D414" s="153"/>
      <c r="E414" s="15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3"/>
      <c r="B415" s="153"/>
      <c r="C415" s="153"/>
      <c r="D415" s="153"/>
      <c r="E415" s="15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3"/>
      <c r="B416" s="153"/>
      <c r="C416" s="153"/>
      <c r="D416" s="153"/>
      <c r="E416" s="15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3"/>
      <c r="B417" s="153"/>
      <c r="C417" s="153"/>
      <c r="D417" s="153"/>
      <c r="E417" s="15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3"/>
      <c r="B418" s="153"/>
      <c r="C418" s="153"/>
      <c r="D418" s="153"/>
      <c r="E418" s="15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3"/>
      <c r="B419" s="153"/>
      <c r="C419" s="153"/>
      <c r="D419" s="153"/>
      <c r="E419" s="15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3"/>
      <c r="B420" s="153"/>
      <c r="C420" s="153"/>
      <c r="D420" s="153"/>
      <c r="E420" s="15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3"/>
      <c r="B421" s="153"/>
      <c r="C421" s="153"/>
      <c r="D421" s="153"/>
      <c r="E421" s="15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3"/>
      <c r="B422" s="153"/>
      <c r="C422" s="153"/>
      <c r="D422" s="153"/>
      <c r="E422" s="15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3"/>
      <c r="B423" s="153"/>
      <c r="C423" s="153"/>
      <c r="D423" s="153"/>
      <c r="E423" s="15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3"/>
      <c r="B424" s="153"/>
      <c r="C424" s="153"/>
      <c r="D424" s="153"/>
      <c r="E424" s="15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3"/>
      <c r="B425" s="153"/>
      <c r="C425" s="153"/>
      <c r="D425" s="153"/>
      <c r="E425" s="15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3"/>
      <c r="B426" s="153"/>
      <c r="C426" s="153"/>
      <c r="D426" s="153"/>
      <c r="E426" s="15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3"/>
      <c r="B427" s="153"/>
      <c r="C427" s="153"/>
      <c r="D427" s="153"/>
      <c r="E427" s="15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3"/>
      <c r="B428" s="153"/>
      <c r="C428" s="153"/>
      <c r="D428" s="153"/>
      <c r="E428" s="15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3"/>
      <c r="B429" s="153"/>
      <c r="C429" s="153"/>
      <c r="D429" s="153"/>
      <c r="E429" s="15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3"/>
      <c r="B430" s="153"/>
      <c r="C430" s="153"/>
      <c r="D430" s="153"/>
      <c r="E430" s="15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3"/>
      <c r="B431" s="153"/>
      <c r="C431" s="153"/>
      <c r="D431" s="153"/>
      <c r="E431" s="15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3"/>
      <c r="B432" s="153"/>
      <c r="C432" s="153"/>
      <c r="D432" s="153"/>
      <c r="E432" s="15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3"/>
      <c r="B433" s="153"/>
      <c r="C433" s="153"/>
      <c r="D433" s="153"/>
      <c r="E433" s="15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3"/>
      <c r="B434" s="153"/>
      <c r="C434" s="153"/>
      <c r="D434" s="153"/>
      <c r="E434" s="15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3"/>
      <c r="B435" s="153"/>
      <c r="C435" s="153"/>
      <c r="D435" s="153"/>
      <c r="E435" s="15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3"/>
      <c r="B436" s="153"/>
      <c r="C436" s="153"/>
      <c r="D436" s="153"/>
      <c r="E436" s="15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3"/>
      <c r="B437" s="153"/>
      <c r="C437" s="153"/>
      <c r="D437" s="153"/>
      <c r="E437" s="15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3"/>
      <c r="B438" s="153"/>
      <c r="C438" s="153"/>
      <c r="D438" s="153"/>
      <c r="E438" s="15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3"/>
      <c r="B439" s="153"/>
      <c r="C439" s="153"/>
      <c r="D439" s="153"/>
      <c r="E439" s="15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3"/>
      <c r="B440" s="153"/>
      <c r="C440" s="153"/>
      <c r="D440" s="153"/>
      <c r="E440" s="15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3"/>
      <c r="B441" s="153"/>
      <c r="C441" s="153"/>
      <c r="D441" s="153"/>
      <c r="E441" s="15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3"/>
      <c r="B442" s="153"/>
      <c r="C442" s="153"/>
      <c r="D442" s="153"/>
      <c r="E442" s="15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3"/>
      <c r="B443" s="153"/>
      <c r="C443" s="153"/>
      <c r="D443" s="153"/>
      <c r="E443" s="15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5" ht="20.25">
      <c r="A444" s="172"/>
      <c r="B444" s="172"/>
      <c r="C444" s="172"/>
      <c r="D444" s="172"/>
      <c r="E444" s="173"/>
    </row>
    <row r="445" spans="1:5" ht="20.25">
      <c r="A445" s="170"/>
      <c r="B445" s="170"/>
      <c r="C445" s="170"/>
      <c r="D445" s="170"/>
      <c r="E445" s="171"/>
    </row>
    <row r="446" spans="1:5" ht="20.25">
      <c r="A446" s="170"/>
      <c r="B446" s="170"/>
      <c r="C446" s="170"/>
      <c r="D446" s="170"/>
      <c r="E446" s="171"/>
    </row>
    <row r="447" spans="1:5" ht="20.25">
      <c r="A447" s="170"/>
      <c r="B447" s="170"/>
      <c r="C447" s="170"/>
      <c r="D447" s="170"/>
      <c r="E447" s="171"/>
    </row>
    <row r="448" spans="1:5" ht="20.25">
      <c r="A448" s="170"/>
      <c r="B448" s="170"/>
      <c r="C448" s="170"/>
      <c r="D448" s="170"/>
      <c r="E448" s="171"/>
    </row>
    <row r="449" spans="1:5" ht="20.25">
      <c r="A449" s="170"/>
      <c r="B449" s="170"/>
      <c r="C449" s="170"/>
      <c r="D449" s="170"/>
      <c r="E449" s="171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2:D314"/>
    <mergeCell ref="A262:D274"/>
    <mergeCell ref="A221:D256"/>
    <mergeCell ref="A175:E176"/>
    <mergeCell ref="A183:D213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0:E421"/>
    <mergeCell ref="A406:E407"/>
    <mergeCell ref="A115:E116"/>
    <mergeCell ref="A133:E134"/>
    <mergeCell ref="A173:E174"/>
    <mergeCell ref="F89:F90"/>
    <mergeCell ref="A147:E148"/>
    <mergeCell ref="A91:E92"/>
    <mergeCell ref="A402:E403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0:E411"/>
    <mergeCell ref="A412:E413"/>
    <mergeCell ref="AI121:AJ122"/>
    <mergeCell ref="AI115:AJ116"/>
    <mergeCell ref="AA89:AA90"/>
    <mergeCell ref="A442:E443"/>
    <mergeCell ref="A440:E441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8:E409"/>
    <mergeCell ref="A404:E405"/>
    <mergeCell ref="U89:U90"/>
    <mergeCell ref="G89:G90"/>
    <mergeCell ref="A143:E144"/>
    <mergeCell ref="A448:E449"/>
    <mergeCell ref="A446:E447"/>
    <mergeCell ref="A424:E425"/>
    <mergeCell ref="A426:E427"/>
    <mergeCell ref="A428:E429"/>
    <mergeCell ref="A422:E423"/>
    <mergeCell ref="A436:E437"/>
    <mergeCell ref="A444:E445"/>
    <mergeCell ref="A432:E433"/>
    <mergeCell ref="A434:E435"/>
    <mergeCell ref="A438:E439"/>
    <mergeCell ref="AK179:AL180"/>
    <mergeCell ref="W181:AG181"/>
    <mergeCell ref="A179:E180"/>
    <mergeCell ref="AI179:AJ180"/>
    <mergeCell ref="AH179:AH180"/>
    <mergeCell ref="A414:E415"/>
    <mergeCell ref="A430:E431"/>
    <mergeCell ref="A416:E417"/>
    <mergeCell ref="A418:E419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2022-02-11T09:22:14Z</cp:lastPrinted>
  <dcterms:created xsi:type="dcterms:W3CDTF">1996-10-08T23:32:33Z</dcterms:created>
  <dcterms:modified xsi:type="dcterms:W3CDTF">2022-02-12T09:27:38Z</dcterms:modified>
  <cp:category/>
  <cp:version/>
  <cp:contentType/>
  <cp:contentStatus/>
</cp:coreProperties>
</file>